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showHorizontalScroll="0" showVerticalScroll="0" showSheetTabs="0" xWindow="0" yWindow="0" windowWidth="23040" windowHeight="10155" tabRatio="714"/>
  </bookViews>
  <sheets>
    <sheet name="Introduction" sheetId="10" r:id="rId1"/>
    <sheet name="Likelihood Ratio" sheetId="12" r:id="rId2"/>
    <sheet name="Specified Odds Ratio" sheetId="8" r:id="rId3"/>
    <sheet name="Specified False Positive Rate" sheetId="2" r:id="rId4"/>
    <sheet name="Specified Detection Rate" sheetId="9" r:id="rId5"/>
    <sheet name="normpltsLR" sheetId="13" r:id="rId6"/>
    <sheet name="normplts" sheetId="11" r:id="rId7"/>
  </sheets>
  <definedNames>
    <definedName name="_xlnm.Print_Area" localSheetId="1">'Likelihood Ratio'!$D$83:$S$113</definedName>
    <definedName name="_xlnm.Print_Area" localSheetId="3">'Specified False Positive Rate'!$A$1:$T$91</definedName>
  </definedNames>
  <calcPr calcId="125725"/>
</workbook>
</file>

<file path=xl/calcChain.xml><?xml version="1.0" encoding="utf-8"?>
<calcChain xmlns="http://schemas.openxmlformats.org/spreadsheetml/2006/main">
  <c r="I5" i="12"/>
  <c r="I6" i="9"/>
  <c r="I7"/>
  <c r="I5" i="2"/>
  <c r="I5" i="8"/>
  <c r="C6" i="12"/>
  <c r="C7"/>
  <c r="B6"/>
  <c r="B7"/>
  <c r="E7"/>
  <c r="U24"/>
  <c r="T6"/>
  <c r="T7"/>
  <c r="U6"/>
  <c r="U5"/>
  <c r="Q92"/>
  <c r="U4"/>
  <c r="Q91"/>
  <c r="J5"/>
  <c r="J6"/>
  <c r="E5"/>
  <c r="G5"/>
  <c r="O5"/>
  <c r="Y6"/>
  <c r="Y7"/>
  <c r="Y8"/>
  <c r="Y9"/>
  <c r="Y10"/>
  <c r="Y11"/>
  <c r="Y12"/>
  <c r="Y13"/>
  <c r="Y14"/>
  <c r="Y15"/>
  <c r="Y16"/>
  <c r="Y17"/>
  <c r="Y18"/>
  <c r="Y19"/>
  <c r="Y20"/>
  <c r="Y21"/>
  <c r="Y22"/>
  <c r="Y23"/>
  <c r="D5"/>
  <c r="P92"/>
  <c r="P91"/>
  <c r="E5" i="8"/>
  <c r="G5" s="1"/>
  <c r="C6"/>
  <c r="B6"/>
  <c r="B7"/>
  <c r="Y6"/>
  <c r="Y7" s="1"/>
  <c r="Y8" s="1"/>
  <c r="Y9" s="1"/>
  <c r="Y10" s="1"/>
  <c r="Y11" s="1"/>
  <c r="Y12" s="1"/>
  <c r="Y13" s="1"/>
  <c r="Y14" s="1"/>
  <c r="Y15" s="1"/>
  <c r="Y16" s="1"/>
  <c r="Y17" s="1"/>
  <c r="Y18" s="1"/>
  <c r="Y19" s="1"/>
  <c r="Y20" s="1"/>
  <c r="Y21" s="1"/>
  <c r="Y22" s="1"/>
  <c r="Y23" s="1"/>
  <c r="S11" i="13"/>
  <c r="R11"/>
  <c r="R10"/>
  <c r="A5"/>
  <c r="A6"/>
  <c r="A7"/>
  <c r="Y26" i="12"/>
  <c r="T26"/>
  <c r="U24" i="8"/>
  <c r="T6"/>
  <c r="T7" s="1"/>
  <c r="U5"/>
  <c r="U4"/>
  <c r="J5"/>
  <c r="J6" s="1"/>
  <c r="I6"/>
  <c r="I7"/>
  <c r="I8"/>
  <c r="I9" s="1"/>
  <c r="G70" i="12"/>
  <c r="G70" i="8"/>
  <c r="T26"/>
  <c r="Y26"/>
  <c r="Y27" s="1"/>
  <c r="E69" i="9"/>
  <c r="E69" i="2"/>
  <c r="R10" i="11"/>
  <c r="S11"/>
  <c r="R11"/>
  <c r="A5"/>
  <c r="A6"/>
  <c r="A7"/>
  <c r="B5" i="2"/>
  <c r="C6"/>
  <c r="O71"/>
  <c r="J5"/>
  <c r="J6"/>
  <c r="C6" i="9"/>
  <c r="D101" i="8"/>
  <c r="K72" i="9"/>
  <c r="K72" i="2"/>
  <c r="C69"/>
  <c r="C69" i="9"/>
  <c r="E6"/>
  <c r="E5"/>
  <c r="J6"/>
  <c r="J7"/>
  <c r="B7"/>
  <c r="E7"/>
  <c r="K71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M73"/>
  <c r="O70"/>
  <c r="O69"/>
  <c r="U25"/>
  <c r="V25"/>
  <c r="T7"/>
  <c r="T8"/>
  <c r="U6"/>
  <c r="V6"/>
  <c r="U5"/>
  <c r="V5"/>
  <c r="D5" i="8"/>
  <c r="E4"/>
  <c r="U24" i="2"/>
  <c r="V24"/>
  <c r="T6"/>
  <c r="T7"/>
  <c r="U5"/>
  <c r="V5"/>
  <c r="U4"/>
  <c r="V4"/>
  <c r="C71"/>
  <c r="O70"/>
  <c r="O69"/>
  <c r="N74"/>
  <c r="K74"/>
  <c r="K71"/>
  <c r="T27" i="8"/>
  <c r="U26"/>
  <c r="A8" i="13"/>
  <c r="A9"/>
  <c r="A8" i="11"/>
  <c r="A10" i="13"/>
  <c r="A11"/>
  <c r="A12"/>
  <c r="A9" i="11"/>
  <c r="P71" i="2"/>
  <c r="B6"/>
  <c r="B7"/>
  <c r="E5"/>
  <c r="G5"/>
  <c r="D5"/>
  <c r="T27" i="12"/>
  <c r="V26"/>
  <c r="G72"/>
  <c r="G73"/>
  <c r="U26"/>
  <c r="V27"/>
  <c r="C7" i="9"/>
  <c r="C72"/>
  <c r="O71"/>
  <c r="G6"/>
  <c r="D6"/>
  <c r="C71"/>
  <c r="W27" i="12"/>
  <c r="W26"/>
  <c r="J72"/>
  <c r="J73"/>
  <c r="Y27"/>
  <c r="D6"/>
  <c r="E6"/>
  <c r="G6"/>
  <c r="O6"/>
  <c r="Q93"/>
  <c r="P93"/>
  <c r="D6" i="8"/>
  <c r="O72" i="9"/>
  <c r="E6" i="2"/>
  <c r="G6"/>
  <c r="O6"/>
  <c r="G72"/>
  <c r="C72"/>
  <c r="M71"/>
  <c r="M72"/>
  <c r="M73"/>
  <c r="A13" i="13"/>
  <c r="L6" i="9"/>
  <c r="O6"/>
  <c r="G71"/>
  <c r="A10" i="11"/>
  <c r="A11"/>
  <c r="A14" i="13"/>
  <c r="A12" i="11"/>
  <c r="A15" i="13"/>
  <c r="A16"/>
  <c r="A13" i="11"/>
  <c r="A14"/>
  <c r="A17" i="13"/>
  <c r="A15" i="11"/>
  <c r="A18" i="13"/>
  <c r="A19"/>
  <c r="A16" i="11"/>
  <c r="A17"/>
  <c r="A20" i="13"/>
  <c r="A18" i="11"/>
  <c r="A21" i="13"/>
  <c r="A22"/>
  <c r="A19" i="11"/>
  <c r="A20"/>
  <c r="A23" i="13"/>
  <c r="A24"/>
  <c r="A21" i="11"/>
  <c r="A22"/>
  <c r="A25" i="13"/>
  <c r="A26"/>
  <c r="A23" i="11"/>
  <c r="A24"/>
  <c r="A27" i="13"/>
  <c r="A25" i="11"/>
  <c r="A28" i="13"/>
  <c r="A26" i="11"/>
  <c r="A29" i="13"/>
  <c r="A27" i="11"/>
  <c r="A30" i="13"/>
  <c r="A31"/>
  <c r="A28" i="11"/>
  <c r="A29"/>
  <c r="A32" i="13"/>
  <c r="A33"/>
  <c r="A30" i="11"/>
  <c r="A34" i="13"/>
  <c r="A31" i="11"/>
  <c r="A32"/>
  <c r="A35" i="13"/>
  <c r="A33" i="11"/>
  <c r="A36" i="13"/>
  <c r="A37"/>
  <c r="A34" i="11"/>
  <c r="A35"/>
  <c r="A38" i="13"/>
  <c r="A39"/>
  <c r="A36" i="11"/>
  <c r="A37"/>
  <c r="A40" i="13"/>
  <c r="A41"/>
  <c r="A38" i="11"/>
  <c r="A42" i="13"/>
  <c r="A39" i="11"/>
  <c r="A40"/>
  <c r="A43" i="13"/>
  <c r="A44"/>
  <c r="A41" i="11"/>
  <c r="A45" i="13"/>
  <c r="A42" i="11"/>
  <c r="A43"/>
  <c r="A46" i="13"/>
  <c r="A47"/>
  <c r="A44" i="11"/>
  <c r="A45"/>
  <c r="A48" i="13"/>
  <c r="A46" i="11"/>
  <c r="A49" i="13"/>
  <c r="A47" i="11"/>
  <c r="A50" i="13"/>
  <c r="A51"/>
  <c r="A48" i="11"/>
  <c r="A49"/>
  <c r="A52" i="13"/>
  <c r="A50" i="11"/>
  <c r="A53" i="13"/>
  <c r="A54"/>
  <c r="A51" i="11"/>
  <c r="A55" i="13"/>
  <c r="A52" i="11"/>
  <c r="A53"/>
  <c r="A56" i="13"/>
  <c r="A54" i="11"/>
  <c r="A57" i="13"/>
  <c r="A55" i="11"/>
  <c r="A58" i="13"/>
  <c r="A59"/>
  <c r="A56" i="11"/>
  <c r="A60" i="13"/>
  <c r="A57" i="11"/>
  <c r="A58"/>
  <c r="A61" i="13"/>
  <c r="A62"/>
  <c r="A59" i="11"/>
  <c r="A63" i="13"/>
  <c r="A60" i="11"/>
  <c r="A64" i="13"/>
  <c r="A61" i="11"/>
  <c r="A62"/>
  <c r="A65" i="13"/>
  <c r="A63" i="11"/>
  <c r="A66" i="13"/>
  <c r="A64" i="11"/>
  <c r="A67" i="13"/>
  <c r="A68"/>
  <c r="A65" i="11"/>
  <c r="A69" i="13"/>
  <c r="A66" i="11"/>
  <c r="A70" i="13"/>
  <c r="A67" i="11"/>
  <c r="A71" i="13"/>
  <c r="A68" i="11"/>
  <c r="A69"/>
  <c r="A72" i="13"/>
  <c r="A70" i="11"/>
  <c r="A73" i="13"/>
  <c r="A71" i="11"/>
  <c r="A74" i="13"/>
  <c r="A75"/>
  <c r="A72" i="11"/>
  <c r="A76" i="13"/>
  <c r="A73" i="11"/>
  <c r="A77" i="13"/>
  <c r="A74" i="11"/>
  <c r="A78" i="13"/>
  <c r="A75" i="11"/>
  <c r="A76"/>
  <c r="A79" i="13"/>
  <c r="A80"/>
  <c r="A77" i="11"/>
  <c r="A78"/>
  <c r="A81" i="13"/>
  <c r="A82"/>
  <c r="A79" i="11"/>
  <c r="A83" i="13"/>
  <c r="A80" i="11"/>
  <c r="A84" i="13"/>
  <c r="A81" i="11"/>
  <c r="A85" i="13"/>
  <c r="A82" i="11"/>
  <c r="A86" i="13"/>
  <c r="A83" i="11"/>
  <c r="A87" i="13"/>
  <c r="A84" i="11"/>
  <c r="A88" i="13"/>
  <c r="A85" i="11"/>
  <c r="A89" i="13"/>
  <c r="A86" i="11"/>
  <c r="A90" i="13"/>
  <c r="A87" i="11"/>
  <c r="A88"/>
  <c r="A91" i="13"/>
  <c r="A92"/>
  <c r="A89" i="11"/>
  <c r="A90"/>
  <c r="A93" i="13"/>
  <c r="A94"/>
  <c r="A91" i="11"/>
  <c r="A95" i="13"/>
  <c r="A92" i="11"/>
  <c r="A96" i="13"/>
  <c r="A93" i="11"/>
  <c r="A94"/>
  <c r="A97" i="13"/>
  <c r="A98"/>
  <c r="A95" i="11"/>
  <c r="A99" i="13"/>
  <c r="A96" i="11"/>
  <c r="A100" i="13"/>
  <c r="A97" i="11"/>
  <c r="A101" i="13"/>
  <c r="A98" i="11"/>
  <c r="A102" i="13"/>
  <c r="A99" i="11"/>
  <c r="A103" i="13"/>
  <c r="A100" i="11"/>
  <c r="A104" i="13"/>
  <c r="A101" i="11"/>
  <c r="A102"/>
  <c r="A105" i="13"/>
  <c r="A106"/>
  <c r="A103" i="11"/>
  <c r="A107" i="13"/>
  <c r="A104" i="11"/>
  <c r="A108" i="13"/>
  <c r="A105" i="11"/>
  <c r="A109" i="13"/>
  <c r="A106" i="11"/>
  <c r="A110" i="13"/>
  <c r="A107" i="11"/>
  <c r="A108"/>
  <c r="A111" i="13"/>
  <c r="A112"/>
  <c r="A109" i="11"/>
  <c r="A113" i="13"/>
  <c r="A110" i="11"/>
  <c r="A111"/>
  <c r="A114" i="13"/>
  <c r="A112" i="11"/>
  <c r="A115" i="13"/>
  <c r="A116"/>
  <c r="A113" i="11"/>
  <c r="A117" i="13"/>
  <c r="A114" i="11"/>
  <c r="A118" i="13"/>
  <c r="A115" i="11"/>
  <c r="A119" i="13"/>
  <c r="A116" i="11"/>
  <c r="A120" i="13"/>
  <c r="A117" i="11"/>
  <c r="A121" i="13"/>
  <c r="A118" i="11"/>
  <c r="A122" i="13"/>
  <c r="A119" i="11"/>
  <c r="A120"/>
  <c r="A123" i="13"/>
  <c r="A124"/>
  <c r="A121" i="11"/>
  <c r="A125" i="13"/>
  <c r="A122" i="11"/>
  <c r="A126" i="13"/>
  <c r="A123" i="11"/>
  <c r="A127" i="13"/>
  <c r="A124" i="11"/>
  <c r="A128" i="13"/>
  <c r="A125" i="11"/>
  <c r="A126"/>
  <c r="A129" i="13"/>
  <c r="A130"/>
  <c r="A127" i="11"/>
  <c r="A131" i="13"/>
  <c r="A128" i="11"/>
  <c r="A132" i="13"/>
  <c r="A129" i="11"/>
  <c r="A133" i="13"/>
  <c r="A130" i="11"/>
  <c r="A134" i="13"/>
  <c r="A131" i="11"/>
  <c r="A132"/>
  <c r="A135" i="13"/>
  <c r="A136"/>
  <c r="A133" i="11"/>
  <c r="A137" i="13"/>
  <c r="A134" i="11"/>
  <c r="A138" i="13"/>
  <c r="A135" i="11"/>
  <c r="A139" i="13"/>
  <c r="A136" i="11"/>
  <c r="A140" i="13"/>
  <c r="A137" i="11"/>
  <c r="A138"/>
  <c r="A141" i="13"/>
  <c r="A142"/>
  <c r="A139" i="11"/>
  <c r="A143" i="13"/>
  <c r="A140" i="11"/>
  <c r="A144" i="13"/>
  <c r="A141" i="11"/>
  <c r="A145" i="13"/>
  <c r="A142" i="11"/>
  <c r="A146" i="13"/>
  <c r="A143" i="11"/>
  <c r="A144"/>
  <c r="A147" i="13"/>
  <c r="A148"/>
  <c r="A145" i="11"/>
  <c r="A149" i="13"/>
  <c r="A146" i="11"/>
  <c r="A147"/>
  <c r="A150" i="13"/>
  <c r="A148" i="11"/>
  <c r="A151" i="13"/>
  <c r="A152"/>
  <c r="A149" i="11"/>
  <c r="A153" i="13"/>
  <c r="A150" i="11"/>
  <c r="A154" i="13"/>
  <c r="A151" i="11"/>
  <c r="A155" i="13"/>
  <c r="A152" i="11"/>
  <c r="A156" i="13"/>
  <c r="A153" i="11"/>
  <c r="A157" i="13"/>
  <c r="A154" i="11"/>
  <c r="A158" i="13"/>
  <c r="A155" i="11"/>
  <c r="A156"/>
  <c r="A159" i="13"/>
  <c r="A160"/>
  <c r="A157" i="11"/>
  <c r="A161" i="13"/>
  <c r="A158" i="11"/>
  <c r="A162" i="13"/>
  <c r="A159" i="11"/>
  <c r="A163" i="13"/>
  <c r="A160" i="11"/>
  <c r="A161"/>
  <c r="A162"/>
  <c r="A163"/>
  <c r="E4" i="12"/>
  <c r="U7" i="9"/>
  <c r="V7"/>
  <c r="B8"/>
  <c r="B9"/>
  <c r="G7"/>
  <c r="O7"/>
  <c r="G72"/>
  <c r="E7" i="8"/>
  <c r="B8"/>
  <c r="D8" s="1"/>
  <c r="C7"/>
  <c r="G7" s="1"/>
  <c r="C8"/>
  <c r="E6"/>
  <c r="G6" s="1"/>
  <c r="T8" i="12"/>
  <c r="U7"/>
  <c r="Q94"/>
  <c r="C8"/>
  <c r="G7"/>
  <c r="O7"/>
  <c r="D7"/>
  <c r="P94"/>
  <c r="L6"/>
  <c r="J7"/>
  <c r="B8"/>
  <c r="L5"/>
  <c r="K5"/>
  <c r="N5"/>
  <c r="I6"/>
  <c r="K6" i="9"/>
  <c r="N6"/>
  <c r="Q71"/>
  <c r="B10"/>
  <c r="E9"/>
  <c r="L7"/>
  <c r="J8"/>
  <c r="U8"/>
  <c r="V8"/>
  <c r="T9"/>
  <c r="C8"/>
  <c r="E8"/>
  <c r="D7"/>
  <c r="I8"/>
  <c r="K7"/>
  <c r="N7"/>
  <c r="T8" i="2"/>
  <c r="U7"/>
  <c r="V7"/>
  <c r="O5"/>
  <c r="G71"/>
  <c r="L5"/>
  <c r="B8"/>
  <c r="E7"/>
  <c r="P72"/>
  <c r="E4"/>
  <c r="K5"/>
  <c r="D6"/>
  <c r="U6"/>
  <c r="V6"/>
  <c r="C7"/>
  <c r="J7"/>
  <c r="L6"/>
  <c r="I6"/>
  <c r="E8" i="8"/>
  <c r="G8" s="1"/>
  <c r="B9"/>
  <c r="B10" s="1"/>
  <c r="C9"/>
  <c r="C10" s="1"/>
  <c r="D7"/>
  <c r="D8" i="12"/>
  <c r="P95"/>
  <c r="C9"/>
  <c r="E8"/>
  <c r="G8"/>
  <c r="O8"/>
  <c r="B9"/>
  <c r="J8"/>
  <c r="L7"/>
  <c r="T9"/>
  <c r="U8"/>
  <c r="Q95"/>
  <c r="K6"/>
  <c r="N6"/>
  <c r="C61"/>
  <c r="I7"/>
  <c r="C60"/>
  <c r="E71" i="9"/>
  <c r="N71"/>
  <c r="D8"/>
  <c r="O73"/>
  <c r="G8"/>
  <c r="O8"/>
  <c r="G73"/>
  <c r="C73"/>
  <c r="C9"/>
  <c r="U9"/>
  <c r="V9"/>
  <c r="T10"/>
  <c r="J9"/>
  <c r="B11"/>
  <c r="E10"/>
  <c r="E72"/>
  <c r="Q72"/>
  <c r="I9"/>
  <c r="K8"/>
  <c r="B9" i="2"/>
  <c r="E8"/>
  <c r="C73"/>
  <c r="D7"/>
  <c r="O72"/>
  <c r="C8"/>
  <c r="G7"/>
  <c r="O7"/>
  <c r="G73"/>
  <c r="P73"/>
  <c r="N5"/>
  <c r="T9"/>
  <c r="U8"/>
  <c r="V8"/>
  <c r="J8"/>
  <c r="K6"/>
  <c r="N6"/>
  <c r="I7"/>
  <c r="E9" i="8"/>
  <c r="G9"/>
  <c r="L8" i="12"/>
  <c r="J9"/>
  <c r="B10"/>
  <c r="E9"/>
  <c r="P96"/>
  <c r="C10"/>
  <c r="G9"/>
  <c r="O9"/>
  <c r="Q96"/>
  <c r="D9"/>
  <c r="U9"/>
  <c r="T10"/>
  <c r="K7"/>
  <c r="N7"/>
  <c r="I8"/>
  <c r="C74" i="9"/>
  <c r="C10"/>
  <c r="G9"/>
  <c r="O9"/>
  <c r="G74"/>
  <c r="O74"/>
  <c r="D9"/>
  <c r="E11"/>
  <c r="B12"/>
  <c r="T11"/>
  <c r="U10"/>
  <c r="V10"/>
  <c r="J10"/>
  <c r="L8"/>
  <c r="N8"/>
  <c r="I10"/>
  <c r="L7" i="2"/>
  <c r="G8"/>
  <c r="O8"/>
  <c r="G74"/>
  <c r="C9"/>
  <c r="O73"/>
  <c r="P74"/>
  <c r="C74"/>
  <c r="D8"/>
  <c r="U9"/>
  <c r="V9"/>
  <c r="T10"/>
  <c r="E71"/>
  <c r="Q71"/>
  <c r="R5"/>
  <c r="Q5"/>
  <c r="S5"/>
  <c r="E9"/>
  <c r="B10"/>
  <c r="J9"/>
  <c r="E72"/>
  <c r="Q72"/>
  <c r="R6"/>
  <c r="Q6"/>
  <c r="S6"/>
  <c r="I8"/>
  <c r="K7"/>
  <c r="N7"/>
  <c r="O9" i="8"/>
  <c r="L9" i="9"/>
  <c r="L8" i="2"/>
  <c r="C11" i="12"/>
  <c r="P97"/>
  <c r="D10"/>
  <c r="U10"/>
  <c r="Q97"/>
  <c r="T11"/>
  <c r="B11"/>
  <c r="E10"/>
  <c r="G10"/>
  <c r="O10"/>
  <c r="J10"/>
  <c r="L9"/>
  <c r="C62"/>
  <c r="I9"/>
  <c r="K8"/>
  <c r="N8"/>
  <c r="Q73" i="9"/>
  <c r="E73"/>
  <c r="N72"/>
  <c r="J11"/>
  <c r="C75"/>
  <c r="C11"/>
  <c r="G10"/>
  <c r="O10"/>
  <c r="G75"/>
  <c r="O75"/>
  <c r="D10"/>
  <c r="E12"/>
  <c r="B13"/>
  <c r="K9"/>
  <c r="N9"/>
  <c r="E74"/>
  <c r="N73"/>
  <c r="T12"/>
  <c r="U11"/>
  <c r="V11"/>
  <c r="I11"/>
  <c r="C10" i="2"/>
  <c r="G9"/>
  <c r="O9"/>
  <c r="G75"/>
  <c r="D9"/>
  <c r="P75"/>
  <c r="C75"/>
  <c r="O74"/>
  <c r="T11"/>
  <c r="U10"/>
  <c r="V10"/>
  <c r="B11"/>
  <c r="E10"/>
  <c r="J10"/>
  <c r="L9"/>
  <c r="Q73"/>
  <c r="E73"/>
  <c r="Q7"/>
  <c r="S7"/>
  <c r="R7"/>
  <c r="I9"/>
  <c r="K8"/>
  <c r="N8"/>
  <c r="J11" i="12"/>
  <c r="L10"/>
  <c r="E11"/>
  <c r="B12"/>
  <c r="T12"/>
  <c r="U11"/>
  <c r="Q98"/>
  <c r="C12"/>
  <c r="P98"/>
  <c r="G11"/>
  <c r="O11"/>
  <c r="D11"/>
  <c r="K9"/>
  <c r="N9"/>
  <c r="C64"/>
  <c r="I10"/>
  <c r="C63"/>
  <c r="C76" i="9"/>
  <c r="G11"/>
  <c r="O11"/>
  <c r="G76"/>
  <c r="O76"/>
  <c r="C12"/>
  <c r="D11"/>
  <c r="T13"/>
  <c r="U12"/>
  <c r="V12"/>
  <c r="E13"/>
  <c r="B14"/>
  <c r="J12"/>
  <c r="Q74"/>
  <c r="L10"/>
  <c r="K10"/>
  <c r="N10"/>
  <c r="E75"/>
  <c r="I12"/>
  <c r="U11" i="2"/>
  <c r="V11"/>
  <c r="T12"/>
  <c r="E11"/>
  <c r="B12"/>
  <c r="G10"/>
  <c r="O10"/>
  <c r="G76"/>
  <c r="D10"/>
  <c r="C76"/>
  <c r="P76"/>
  <c r="O75"/>
  <c r="C11"/>
  <c r="J11"/>
  <c r="Q8"/>
  <c r="S8"/>
  <c r="Q74"/>
  <c r="E74"/>
  <c r="R8"/>
  <c r="K9"/>
  <c r="N9"/>
  <c r="I10"/>
  <c r="K11" i="9"/>
  <c r="L11"/>
  <c r="D12" i="12"/>
  <c r="P99"/>
  <c r="C13"/>
  <c r="B13"/>
  <c r="E12"/>
  <c r="G12"/>
  <c r="O12"/>
  <c r="J12"/>
  <c r="L11"/>
  <c r="U12"/>
  <c r="Q99"/>
  <c r="T13"/>
  <c r="K10"/>
  <c r="N10"/>
  <c r="C65"/>
  <c r="I11"/>
  <c r="Q75" i="9"/>
  <c r="T14"/>
  <c r="U13"/>
  <c r="V13"/>
  <c r="G12"/>
  <c r="O12"/>
  <c r="G77"/>
  <c r="D12"/>
  <c r="O77"/>
  <c r="C13"/>
  <c r="C77"/>
  <c r="J13"/>
  <c r="L12"/>
  <c r="B15"/>
  <c r="E14"/>
  <c r="I13"/>
  <c r="L10" i="2"/>
  <c r="E12"/>
  <c r="B13"/>
  <c r="D11"/>
  <c r="O76"/>
  <c r="P77"/>
  <c r="C12"/>
  <c r="G11"/>
  <c r="O11"/>
  <c r="G77"/>
  <c r="C77"/>
  <c r="T13"/>
  <c r="U12"/>
  <c r="V12"/>
  <c r="J12"/>
  <c r="R9"/>
  <c r="Q75"/>
  <c r="Q9"/>
  <c r="E75"/>
  <c r="I11"/>
  <c r="K10"/>
  <c r="N10"/>
  <c r="S9"/>
  <c r="N11" i="9"/>
  <c r="Q76"/>
  <c r="J13" i="12"/>
  <c r="L12"/>
  <c r="E13"/>
  <c r="G13"/>
  <c r="O13"/>
  <c r="B14"/>
  <c r="D13"/>
  <c r="C14"/>
  <c r="P100"/>
  <c r="U13"/>
  <c r="Q100"/>
  <c r="T14"/>
  <c r="I12"/>
  <c r="K11"/>
  <c r="N11"/>
  <c r="C66"/>
  <c r="E15" i="9"/>
  <c r="B16"/>
  <c r="C78"/>
  <c r="G13"/>
  <c r="O13"/>
  <c r="G78"/>
  <c r="O78"/>
  <c r="D13"/>
  <c r="C14"/>
  <c r="J14"/>
  <c r="K12"/>
  <c r="N12"/>
  <c r="E77"/>
  <c r="U14"/>
  <c r="V14"/>
  <c r="T15"/>
  <c r="K13"/>
  <c r="I14"/>
  <c r="L11" i="2"/>
  <c r="T14"/>
  <c r="U13"/>
  <c r="V13"/>
  <c r="E13"/>
  <c r="B14"/>
  <c r="C78"/>
  <c r="O77"/>
  <c r="G12"/>
  <c r="O12"/>
  <c r="G78"/>
  <c r="C13"/>
  <c r="P78"/>
  <c r="D12"/>
  <c r="J13"/>
  <c r="L12"/>
  <c r="Q10"/>
  <c r="S10"/>
  <c r="E76"/>
  <c r="R10"/>
  <c r="Q76"/>
  <c r="I12"/>
  <c r="K11"/>
  <c r="N11"/>
  <c r="E76" i="9"/>
  <c r="C15" i="12"/>
  <c r="D14"/>
  <c r="P101"/>
  <c r="T15"/>
  <c r="U14"/>
  <c r="Q101"/>
  <c r="E14"/>
  <c r="G14"/>
  <c r="O14"/>
  <c r="B15"/>
  <c r="L13"/>
  <c r="J14"/>
  <c r="I13"/>
  <c r="K12"/>
  <c r="N12"/>
  <c r="C67"/>
  <c r="Q77" i="9"/>
  <c r="O79"/>
  <c r="G14"/>
  <c r="O14"/>
  <c r="C15"/>
  <c r="G79"/>
  <c r="D14"/>
  <c r="C79"/>
  <c r="U15"/>
  <c r="V15"/>
  <c r="T16"/>
  <c r="L13"/>
  <c r="N13"/>
  <c r="Q78"/>
  <c r="E16"/>
  <c r="B17"/>
  <c r="J15"/>
  <c r="I15"/>
  <c r="E14" i="2"/>
  <c r="B15"/>
  <c r="O78"/>
  <c r="P79"/>
  <c r="C79"/>
  <c r="D13"/>
  <c r="C14"/>
  <c r="G13"/>
  <c r="O13"/>
  <c r="G79"/>
  <c r="U14"/>
  <c r="V14"/>
  <c r="T15"/>
  <c r="J14"/>
  <c r="Q77"/>
  <c r="Q11"/>
  <c r="R11"/>
  <c r="E77"/>
  <c r="I13"/>
  <c r="K12"/>
  <c r="N12"/>
  <c r="S11"/>
  <c r="K14" i="9"/>
  <c r="L14"/>
  <c r="L13" i="2"/>
  <c r="J15" i="12"/>
  <c r="L14"/>
  <c r="U15"/>
  <c r="Q102"/>
  <c r="T16"/>
  <c r="B16"/>
  <c r="E15"/>
  <c r="G15"/>
  <c r="O15"/>
  <c r="C16"/>
  <c r="P102"/>
  <c r="D15"/>
  <c r="I14"/>
  <c r="K13"/>
  <c r="N13"/>
  <c r="J16" i="9"/>
  <c r="E17"/>
  <c r="B18"/>
  <c r="C80"/>
  <c r="C16"/>
  <c r="G15"/>
  <c r="O15"/>
  <c r="G80"/>
  <c r="O80"/>
  <c r="D15"/>
  <c r="E78"/>
  <c r="T17"/>
  <c r="U16"/>
  <c r="V16"/>
  <c r="I16"/>
  <c r="G14" i="2"/>
  <c r="O14"/>
  <c r="G80"/>
  <c r="C80"/>
  <c r="P80"/>
  <c r="D14"/>
  <c r="C15"/>
  <c r="O79"/>
  <c r="U15"/>
  <c r="V15"/>
  <c r="T16"/>
  <c r="B16"/>
  <c r="E15"/>
  <c r="J15"/>
  <c r="I14"/>
  <c r="K13"/>
  <c r="N13"/>
  <c r="E78"/>
  <c r="R12"/>
  <c r="Q12"/>
  <c r="S12"/>
  <c r="Q78"/>
  <c r="K15" i="9"/>
  <c r="N14"/>
  <c r="L14" i="2"/>
  <c r="P103" i="12"/>
  <c r="D16"/>
  <c r="C17"/>
  <c r="B17"/>
  <c r="E16"/>
  <c r="G16"/>
  <c r="O16"/>
  <c r="T17"/>
  <c r="U16"/>
  <c r="Q103"/>
  <c r="J16"/>
  <c r="L15"/>
  <c r="I15"/>
  <c r="K14"/>
  <c r="N14"/>
  <c r="C68"/>
  <c r="U17" i="9"/>
  <c r="V17"/>
  <c r="T18"/>
  <c r="B19"/>
  <c r="E18"/>
  <c r="C81"/>
  <c r="D16"/>
  <c r="C17"/>
  <c r="G16"/>
  <c r="O16"/>
  <c r="G81"/>
  <c r="O81"/>
  <c r="J17"/>
  <c r="L15"/>
  <c r="N15"/>
  <c r="I17"/>
  <c r="C16" i="2"/>
  <c r="O80"/>
  <c r="P81"/>
  <c r="G15"/>
  <c r="O15"/>
  <c r="G81"/>
  <c r="D15"/>
  <c r="C81"/>
  <c r="B17"/>
  <c r="E16"/>
  <c r="T17"/>
  <c r="U16"/>
  <c r="V16"/>
  <c r="J16"/>
  <c r="Q13"/>
  <c r="S13"/>
  <c r="R13"/>
  <c r="Q79"/>
  <c r="E79"/>
  <c r="I15"/>
  <c r="K14"/>
  <c r="N14"/>
  <c r="E79" i="9"/>
  <c r="Q79"/>
  <c r="K16"/>
  <c r="C18" i="12"/>
  <c r="P104"/>
  <c r="D17"/>
  <c r="Q104"/>
  <c r="B18"/>
  <c r="E17"/>
  <c r="G17"/>
  <c r="O17"/>
  <c r="J17"/>
  <c r="L16"/>
  <c r="U17"/>
  <c r="T18"/>
  <c r="K15"/>
  <c r="N15"/>
  <c r="I16"/>
  <c r="C69"/>
  <c r="E80" i="9"/>
  <c r="Q80"/>
  <c r="L16"/>
  <c r="C18"/>
  <c r="C82"/>
  <c r="D17"/>
  <c r="O82"/>
  <c r="G17"/>
  <c r="O17"/>
  <c r="G82"/>
  <c r="J18"/>
  <c r="B20"/>
  <c r="E19"/>
  <c r="T19"/>
  <c r="U18"/>
  <c r="V18"/>
  <c r="N16"/>
  <c r="E81"/>
  <c r="I18"/>
  <c r="B18" i="2"/>
  <c r="E17"/>
  <c r="L15"/>
  <c r="U17"/>
  <c r="V17"/>
  <c r="T18"/>
  <c r="C17"/>
  <c r="P82"/>
  <c r="D16"/>
  <c r="G16"/>
  <c r="O16"/>
  <c r="C82"/>
  <c r="O81"/>
  <c r="G82"/>
  <c r="J17"/>
  <c r="I16"/>
  <c r="K15"/>
  <c r="Q14"/>
  <c r="S14"/>
  <c r="R14"/>
  <c r="E80"/>
  <c r="Q80"/>
  <c r="N15"/>
  <c r="R15"/>
  <c r="L16"/>
  <c r="T19" i="12"/>
  <c r="U18"/>
  <c r="Q105"/>
  <c r="B19"/>
  <c r="E18"/>
  <c r="G18"/>
  <c r="O18"/>
  <c r="J18"/>
  <c r="L17"/>
  <c r="C19"/>
  <c r="P105"/>
  <c r="D18"/>
  <c r="C70"/>
  <c r="K16"/>
  <c r="N16"/>
  <c r="C71"/>
  <c r="I17"/>
  <c r="Q81" i="9"/>
  <c r="E20"/>
  <c r="B21"/>
  <c r="C83"/>
  <c r="C19"/>
  <c r="O83"/>
  <c r="D18"/>
  <c r="G18"/>
  <c r="O18"/>
  <c r="G83"/>
  <c r="L17"/>
  <c r="J19"/>
  <c r="T20"/>
  <c r="U19"/>
  <c r="V19"/>
  <c r="K17"/>
  <c r="I19"/>
  <c r="T19" i="2"/>
  <c r="U18"/>
  <c r="V18"/>
  <c r="C83"/>
  <c r="O82"/>
  <c r="P83"/>
  <c r="G17"/>
  <c r="O17"/>
  <c r="G83"/>
  <c r="D17"/>
  <c r="C18"/>
  <c r="B19"/>
  <c r="E18"/>
  <c r="J18"/>
  <c r="Q15"/>
  <c r="Q81"/>
  <c r="E81"/>
  <c r="K16"/>
  <c r="N16"/>
  <c r="I17"/>
  <c r="S15"/>
  <c r="K18" i="9"/>
  <c r="N17"/>
  <c r="E82"/>
  <c r="J19" i="12"/>
  <c r="L18"/>
  <c r="E19"/>
  <c r="G19"/>
  <c r="O19"/>
  <c r="B20"/>
  <c r="Q106"/>
  <c r="P106"/>
  <c r="C20"/>
  <c r="D19"/>
  <c r="U19"/>
  <c r="T20"/>
  <c r="I18"/>
  <c r="K17"/>
  <c r="N17"/>
  <c r="U20" i="9"/>
  <c r="V20"/>
  <c r="T21"/>
  <c r="G19"/>
  <c r="O19"/>
  <c r="D19"/>
  <c r="G84"/>
  <c r="O84"/>
  <c r="C20"/>
  <c r="C84"/>
  <c r="L18"/>
  <c r="Q82"/>
  <c r="J20"/>
  <c r="E21"/>
  <c r="B22"/>
  <c r="K19"/>
  <c r="I20"/>
  <c r="L17" i="2"/>
  <c r="E19"/>
  <c r="B20"/>
  <c r="P84"/>
  <c r="G18"/>
  <c r="O18"/>
  <c r="D18"/>
  <c r="G84"/>
  <c r="O83"/>
  <c r="C84"/>
  <c r="C19"/>
  <c r="T20"/>
  <c r="U19"/>
  <c r="V19"/>
  <c r="L18"/>
  <c r="J19"/>
  <c r="E82"/>
  <c r="Q82"/>
  <c r="R16"/>
  <c r="Q16"/>
  <c r="K17"/>
  <c r="I18"/>
  <c r="S16"/>
  <c r="N18" i="9"/>
  <c r="E83"/>
  <c r="N17" i="2"/>
  <c r="R17"/>
  <c r="C21" i="12"/>
  <c r="D20"/>
  <c r="P107"/>
  <c r="U20"/>
  <c r="Q107"/>
  <c r="T21"/>
  <c r="B21"/>
  <c r="E20"/>
  <c r="G20"/>
  <c r="O20"/>
  <c r="J20"/>
  <c r="L19"/>
  <c r="K18"/>
  <c r="N18"/>
  <c r="I19"/>
  <c r="C72"/>
  <c r="Q83" i="9"/>
  <c r="O85"/>
  <c r="D20"/>
  <c r="C21"/>
  <c r="G20"/>
  <c r="O20"/>
  <c r="C85"/>
  <c r="G85"/>
  <c r="B23"/>
  <c r="E22"/>
  <c r="J21"/>
  <c r="U21"/>
  <c r="V21"/>
  <c r="T22"/>
  <c r="L19"/>
  <c r="N19"/>
  <c r="I21"/>
  <c r="K20"/>
  <c r="U20" i="2"/>
  <c r="V20"/>
  <c r="T21"/>
  <c r="E20"/>
  <c r="B21"/>
  <c r="G19"/>
  <c r="O19"/>
  <c r="G85"/>
  <c r="C85"/>
  <c r="D19"/>
  <c r="C20"/>
  <c r="P85"/>
  <c r="O84"/>
  <c r="J20"/>
  <c r="Q17"/>
  <c r="Q83"/>
  <c r="E83"/>
  <c r="I19"/>
  <c r="K18"/>
  <c r="N18"/>
  <c r="S17"/>
  <c r="T22" i="12"/>
  <c r="U21"/>
  <c r="L20"/>
  <c r="J21"/>
  <c r="B22"/>
  <c r="E21"/>
  <c r="C22"/>
  <c r="G21"/>
  <c r="O21"/>
  <c r="P108"/>
  <c r="D21"/>
  <c r="Q108"/>
  <c r="C73"/>
  <c r="K19"/>
  <c r="N19"/>
  <c r="C74"/>
  <c r="I20"/>
  <c r="E84" i="9"/>
  <c r="Q84"/>
  <c r="O86"/>
  <c r="G21"/>
  <c r="O21"/>
  <c r="C22"/>
  <c r="G86"/>
  <c r="D21"/>
  <c r="C86"/>
  <c r="B24"/>
  <c r="E23"/>
  <c r="L20"/>
  <c r="N20"/>
  <c r="Q85"/>
  <c r="U22"/>
  <c r="V22"/>
  <c r="T23"/>
  <c r="J22"/>
  <c r="L21"/>
  <c r="I22"/>
  <c r="K21"/>
  <c r="L19" i="2"/>
  <c r="E21"/>
  <c r="B22"/>
  <c r="T22"/>
  <c r="U21"/>
  <c r="V21"/>
  <c r="C86"/>
  <c r="C21"/>
  <c r="P86"/>
  <c r="G20"/>
  <c r="O20"/>
  <c r="G86"/>
  <c r="O85"/>
  <c r="D20"/>
  <c r="L20"/>
  <c r="J21"/>
  <c r="I20"/>
  <c r="K19"/>
  <c r="N19"/>
  <c r="E84"/>
  <c r="Q84"/>
  <c r="Q18"/>
  <c r="R18"/>
  <c r="S18"/>
  <c r="B23" i="12"/>
  <c r="E22"/>
  <c r="G22"/>
  <c r="O22"/>
  <c r="L21"/>
  <c r="J22"/>
  <c r="D22"/>
  <c r="C23"/>
  <c r="P109"/>
  <c r="T23"/>
  <c r="U23"/>
  <c r="U22"/>
  <c r="Q109"/>
  <c r="I21"/>
  <c r="K20"/>
  <c r="N20"/>
  <c r="U23" i="9"/>
  <c r="V23"/>
  <c r="T24"/>
  <c r="U24"/>
  <c r="V24"/>
  <c r="N21"/>
  <c r="E86"/>
  <c r="C23"/>
  <c r="G22"/>
  <c r="O22"/>
  <c r="G87"/>
  <c r="O87"/>
  <c r="D22"/>
  <c r="C87"/>
  <c r="J23"/>
  <c r="E85"/>
  <c r="B25"/>
  <c r="E24"/>
  <c r="Q86"/>
  <c r="I23"/>
  <c r="T23" i="2"/>
  <c r="U23"/>
  <c r="V23"/>
  <c r="U22"/>
  <c r="V22"/>
  <c r="P87"/>
  <c r="D21"/>
  <c r="O86"/>
  <c r="G21"/>
  <c r="O21"/>
  <c r="G87"/>
  <c r="C87"/>
  <c r="C22"/>
  <c r="B23"/>
  <c r="E22"/>
  <c r="J22"/>
  <c r="Q85"/>
  <c r="R19"/>
  <c r="Q19"/>
  <c r="S19"/>
  <c r="E85"/>
  <c r="N73"/>
  <c r="I21"/>
  <c r="K20"/>
  <c r="N20"/>
  <c r="C24" i="12"/>
  <c r="Q110"/>
  <c r="P110"/>
  <c r="D23"/>
  <c r="L22"/>
  <c r="J23"/>
  <c r="B26"/>
  <c r="B24"/>
  <c r="E23"/>
  <c r="G23"/>
  <c r="O23"/>
  <c r="I22"/>
  <c r="K21"/>
  <c r="N21"/>
  <c r="C76"/>
  <c r="C75"/>
  <c r="G23" i="9"/>
  <c r="O23"/>
  <c r="G88"/>
  <c r="D23"/>
  <c r="C88"/>
  <c r="O88"/>
  <c r="C24"/>
  <c r="E88"/>
  <c r="L22"/>
  <c r="J24"/>
  <c r="L23"/>
  <c r="K22"/>
  <c r="K23"/>
  <c r="N23"/>
  <c r="I24"/>
  <c r="L21" i="2"/>
  <c r="E23"/>
  <c r="B24"/>
  <c r="C23"/>
  <c r="P88"/>
  <c r="G22"/>
  <c r="O22"/>
  <c r="G88"/>
  <c r="O87"/>
  <c r="C88"/>
  <c r="D22"/>
  <c r="J23"/>
  <c r="E86"/>
  <c r="Q20"/>
  <c r="Q86"/>
  <c r="R20"/>
  <c r="S20"/>
  <c r="I22"/>
  <c r="K21"/>
  <c r="N21"/>
  <c r="L23" i="12"/>
  <c r="J24"/>
  <c r="J26"/>
  <c r="J27"/>
  <c r="J28"/>
  <c r="J29"/>
  <c r="J30"/>
  <c r="B25"/>
  <c r="B27"/>
  <c r="Q111"/>
  <c r="P111"/>
  <c r="B33"/>
  <c r="E26"/>
  <c r="B35"/>
  <c r="B29"/>
  <c r="E29"/>
  <c r="K22"/>
  <c r="N22"/>
  <c r="I23"/>
  <c r="C89" i="9"/>
  <c r="G89"/>
  <c r="C25"/>
  <c r="E89"/>
  <c r="O89"/>
  <c r="G24"/>
  <c r="O24"/>
  <c r="D24"/>
  <c r="N22"/>
  <c r="L22" i="2"/>
  <c r="G23"/>
  <c r="O23"/>
  <c r="G89"/>
  <c r="D23"/>
  <c r="P89"/>
  <c r="C89"/>
  <c r="O88"/>
  <c r="C24"/>
  <c r="O89"/>
  <c r="E87"/>
  <c r="N72"/>
  <c r="Q21"/>
  <c r="Q87"/>
  <c r="R21"/>
  <c r="K22"/>
  <c r="I23"/>
  <c r="S21"/>
  <c r="K23"/>
  <c r="N22"/>
  <c r="Q88"/>
  <c r="B36" i="12"/>
  <c r="B45"/>
  <c r="E33"/>
  <c r="B30"/>
  <c r="E30"/>
  <c r="E27"/>
  <c r="B28"/>
  <c r="B34"/>
  <c r="E35"/>
  <c r="B38"/>
  <c r="J33"/>
  <c r="J31"/>
  <c r="I26"/>
  <c r="I24"/>
  <c r="K23"/>
  <c r="N23"/>
  <c r="C78"/>
  <c r="C77"/>
  <c r="K24" i="9"/>
  <c r="L24"/>
  <c r="E87"/>
  <c r="Q87"/>
  <c r="Q88"/>
  <c r="Q89"/>
  <c r="L23" i="2"/>
  <c r="N23"/>
  <c r="R22"/>
  <c r="E88"/>
  <c r="Q22"/>
  <c r="S22"/>
  <c r="N24" i="9"/>
  <c r="C31" i="12"/>
  <c r="C27"/>
  <c r="G27"/>
  <c r="L27"/>
  <c r="C29"/>
  <c r="G29"/>
  <c r="L29"/>
  <c r="C26"/>
  <c r="G26"/>
  <c r="L26"/>
  <c r="C28"/>
  <c r="C30"/>
  <c r="G30"/>
  <c r="L30"/>
  <c r="B31"/>
  <c r="E31"/>
  <c r="E28"/>
  <c r="E34"/>
  <c r="B37"/>
  <c r="J45"/>
  <c r="J34"/>
  <c r="E45"/>
  <c r="B48"/>
  <c r="B41"/>
  <c r="E38"/>
  <c r="B39"/>
  <c r="E36"/>
  <c r="I27"/>
  <c r="Q23" i="2"/>
  <c r="S23"/>
  <c r="E89"/>
  <c r="N71"/>
  <c r="Q89"/>
  <c r="R23"/>
  <c r="K26" i="12"/>
  <c r="N26"/>
  <c r="P26"/>
  <c r="G31"/>
  <c r="L31"/>
  <c r="G28"/>
  <c r="L28"/>
  <c r="J46"/>
  <c r="J35"/>
  <c r="B40"/>
  <c r="E37"/>
  <c r="B42"/>
  <c r="E42"/>
  <c r="E39"/>
  <c r="B51"/>
  <c r="E48"/>
  <c r="B44"/>
  <c r="B47"/>
  <c r="E41"/>
  <c r="I28"/>
  <c r="K27"/>
  <c r="N27"/>
  <c r="P27"/>
  <c r="E40"/>
  <c r="B43"/>
  <c r="J47"/>
  <c r="J36"/>
  <c r="B54"/>
  <c r="E54"/>
  <c r="E51"/>
  <c r="B50"/>
  <c r="E47"/>
  <c r="I29"/>
  <c r="K28"/>
  <c r="N28"/>
  <c r="P28"/>
  <c r="E43"/>
  <c r="B46"/>
  <c r="B53"/>
  <c r="E50"/>
  <c r="J37"/>
  <c r="J48"/>
  <c r="K29"/>
  <c r="N29"/>
  <c r="P29"/>
  <c r="I30"/>
  <c r="J49"/>
  <c r="J38"/>
  <c r="E53"/>
  <c r="B56"/>
  <c r="B49"/>
  <c r="E46"/>
  <c r="K30"/>
  <c r="N30"/>
  <c r="P30"/>
  <c r="I33"/>
  <c r="I31"/>
  <c r="K31"/>
  <c r="N31"/>
  <c r="P31"/>
  <c r="Q26"/>
  <c r="Q31"/>
  <c r="Q30"/>
  <c r="Q27"/>
  <c r="Q29"/>
  <c r="Q28"/>
  <c r="E49"/>
  <c r="B52"/>
  <c r="J39"/>
  <c r="J50"/>
  <c r="I34"/>
  <c r="I45"/>
  <c r="C33"/>
  <c r="G33"/>
  <c r="L33"/>
  <c r="C39"/>
  <c r="G39"/>
  <c r="C42"/>
  <c r="G42"/>
  <c r="C38"/>
  <c r="G38"/>
  <c r="L38"/>
  <c r="C34"/>
  <c r="G34"/>
  <c r="L34"/>
  <c r="C41"/>
  <c r="G41"/>
  <c r="C35"/>
  <c r="G35"/>
  <c r="L35"/>
  <c r="C43"/>
  <c r="G43"/>
  <c r="C37"/>
  <c r="G37"/>
  <c r="L37"/>
  <c r="C36"/>
  <c r="G36"/>
  <c r="L36"/>
  <c r="C40"/>
  <c r="G40"/>
  <c r="J40"/>
  <c r="J51"/>
  <c r="L39"/>
  <c r="B55"/>
  <c r="E55"/>
  <c r="E52"/>
  <c r="I35"/>
  <c r="I46"/>
  <c r="K33"/>
  <c r="N33"/>
  <c r="P33"/>
  <c r="K34"/>
  <c r="N34"/>
  <c r="P34"/>
  <c r="J41"/>
  <c r="J52"/>
  <c r="L40"/>
  <c r="K35"/>
  <c r="N35"/>
  <c r="P35"/>
  <c r="I47"/>
  <c r="I36"/>
  <c r="J42"/>
  <c r="J53"/>
  <c r="L41"/>
  <c r="K36"/>
  <c r="N36"/>
  <c r="P36"/>
  <c r="I37"/>
  <c r="I48"/>
  <c r="J43"/>
  <c r="J54"/>
  <c r="L42"/>
  <c r="I38"/>
  <c r="K37"/>
  <c r="N37"/>
  <c r="P37"/>
  <c r="I49"/>
  <c r="J55"/>
  <c r="L43"/>
  <c r="I39"/>
  <c r="I50"/>
  <c r="K38"/>
  <c r="N38"/>
  <c r="P38"/>
  <c r="I40"/>
  <c r="I51"/>
  <c r="K39"/>
  <c r="N39"/>
  <c r="P39"/>
  <c r="I41"/>
  <c r="I52"/>
  <c r="K40"/>
  <c r="N40"/>
  <c r="P40"/>
  <c r="I53"/>
  <c r="I42"/>
  <c r="K41"/>
  <c r="N41"/>
  <c r="P41"/>
  <c r="I54"/>
  <c r="K42"/>
  <c r="N42"/>
  <c r="P42"/>
  <c r="I43"/>
  <c r="I55"/>
  <c r="K43"/>
  <c r="N43"/>
  <c r="P43"/>
  <c r="Q43"/>
  <c r="Q34"/>
  <c r="Q33"/>
  <c r="Q35"/>
  <c r="Q36"/>
  <c r="Q37"/>
  <c r="Q40"/>
  <c r="Q38"/>
  <c r="Q41"/>
  <c r="Q42"/>
  <c r="Q39"/>
  <c r="C45"/>
  <c r="G45"/>
  <c r="C46"/>
  <c r="G46"/>
  <c r="C50"/>
  <c r="G50"/>
  <c r="C48"/>
  <c r="G48"/>
  <c r="C54"/>
  <c r="G54"/>
  <c r="C53"/>
  <c r="G53"/>
  <c r="C47"/>
  <c r="G47"/>
  <c r="C52"/>
  <c r="G52"/>
  <c r="C49"/>
  <c r="G49"/>
  <c r="C55"/>
  <c r="G55"/>
  <c r="C51"/>
  <c r="G51"/>
  <c r="L52"/>
  <c r="K52"/>
  <c r="L54"/>
  <c r="K54"/>
  <c r="L48"/>
  <c r="K48"/>
  <c r="L53"/>
  <c r="K53"/>
  <c r="L51"/>
  <c r="K51"/>
  <c r="L50"/>
  <c r="K50"/>
  <c r="L55"/>
  <c r="K55"/>
  <c r="L46"/>
  <c r="K46"/>
  <c r="L47"/>
  <c r="K47"/>
  <c r="L49"/>
  <c r="K49"/>
  <c r="L45"/>
  <c r="K45"/>
  <c r="N45"/>
  <c r="P45"/>
  <c r="N55"/>
  <c r="P55"/>
  <c r="N48"/>
  <c r="P48"/>
  <c r="N46"/>
  <c r="P46"/>
  <c r="N53"/>
  <c r="P53"/>
  <c r="N49"/>
  <c r="P49"/>
  <c r="N50"/>
  <c r="P50"/>
  <c r="N54"/>
  <c r="P54"/>
  <c r="N47"/>
  <c r="P47"/>
  <c r="N51"/>
  <c r="P51"/>
  <c r="N52"/>
  <c r="P52"/>
  <c r="Q55"/>
  <c r="Q54"/>
  <c r="Q48"/>
  <c r="Q47"/>
  <c r="Q50"/>
  <c r="Q49"/>
  <c r="Q45"/>
  <c r="Q52"/>
  <c r="Q53"/>
  <c r="Q51"/>
  <c r="Q46"/>
  <c r="Q60"/>
  <c r="AA8"/>
  <c r="R95"/>
  <c r="U14" i="13"/>
  <c r="U8"/>
  <c r="Y20"/>
  <c r="AA10" i="12"/>
  <c r="R97"/>
  <c r="V19"/>
  <c r="V23" i="13"/>
  <c r="X15" i="12"/>
  <c r="AB15"/>
  <c r="V7"/>
  <c r="V11" i="13"/>
  <c r="Y10"/>
  <c r="X26" i="12"/>
  <c r="AB26"/>
  <c r="V15"/>
  <c r="V19" i="13"/>
  <c r="AA9" i="12"/>
  <c r="R96"/>
  <c r="AA21"/>
  <c r="R108"/>
  <c r="V16"/>
  <c r="V20" i="13"/>
  <c r="X24" i="12"/>
  <c r="AB24"/>
  <c r="X6"/>
  <c r="AB6"/>
  <c r="U25" i="13"/>
  <c r="AA7" i="12"/>
  <c r="R94"/>
  <c r="U19" i="13"/>
  <c r="U24"/>
  <c r="V8" i="12"/>
  <c r="V12" i="13"/>
  <c r="AA15" i="12"/>
  <c r="R102"/>
  <c r="AA23"/>
  <c r="R110"/>
  <c r="D3" i="13"/>
  <c r="V20" i="12"/>
  <c r="V24" i="13"/>
  <c r="Y26"/>
  <c r="U11"/>
  <c r="V10" i="12"/>
  <c r="V14" i="13"/>
  <c r="AA24" i="12"/>
  <c r="R111"/>
  <c r="X9"/>
  <c r="W9"/>
  <c r="V6"/>
  <c r="V10" i="13"/>
  <c r="V17" i="12"/>
  <c r="V21" i="13"/>
  <c r="X22" i="12"/>
  <c r="W22"/>
  <c r="V13"/>
  <c r="V17" i="13"/>
  <c r="AA13" i="12"/>
  <c r="R100"/>
  <c r="AA5"/>
  <c r="R92"/>
  <c r="AA14"/>
  <c r="R101"/>
  <c r="U17" i="13"/>
  <c r="U27"/>
  <c r="AA4" i="12"/>
  <c r="R91"/>
  <c r="AA6"/>
  <c r="R93"/>
  <c r="V22"/>
  <c r="V26" i="13"/>
  <c r="V14" i="12"/>
  <c r="V18" i="13"/>
  <c r="X17" i="12"/>
  <c r="W17"/>
  <c r="U26" i="13"/>
  <c r="X8" i="12"/>
  <c r="W8"/>
  <c r="AA22"/>
  <c r="R109"/>
  <c r="Y16" i="13"/>
  <c r="AA18" i="12"/>
  <c r="R105"/>
  <c r="X10"/>
  <c r="W10"/>
  <c r="X7"/>
  <c r="AB7"/>
  <c r="U21" i="13"/>
  <c r="U23"/>
  <c r="V11" i="12"/>
  <c r="V15" i="13"/>
  <c r="V23" i="12"/>
  <c r="V27" i="13"/>
  <c r="V5" i="12"/>
  <c r="V9" i="13"/>
  <c r="X12" i="12"/>
  <c r="W12"/>
  <c r="V18"/>
  <c r="V22" i="13"/>
  <c r="V4" i="12"/>
  <c r="V8" i="13"/>
  <c r="X11" i="12"/>
  <c r="AB11"/>
  <c r="Y28" i="13"/>
  <c r="U15"/>
  <c r="U10"/>
  <c r="Y23"/>
  <c r="AA16" i="12"/>
  <c r="R103"/>
  <c r="V21"/>
  <c r="V25" i="13"/>
  <c r="U20"/>
  <c r="U22"/>
  <c r="U28"/>
  <c r="Y18"/>
  <c r="Y27"/>
  <c r="U12"/>
  <c r="X18" i="12"/>
  <c r="AB18"/>
  <c r="Y25" i="13"/>
  <c r="U16"/>
  <c r="B3"/>
  <c r="X23" i="12"/>
  <c r="AB23"/>
  <c r="AA17"/>
  <c r="R104"/>
  <c r="X13"/>
  <c r="W13"/>
  <c r="AA12"/>
  <c r="R99"/>
  <c r="X4"/>
  <c r="AB4"/>
  <c r="Y12" i="13"/>
  <c r="AA19" i="12"/>
  <c r="R106"/>
  <c r="Y8" i="13"/>
  <c r="Y15"/>
  <c r="Y22"/>
  <c r="Y14"/>
  <c r="U9"/>
  <c r="Y17"/>
  <c r="X21" i="12"/>
  <c r="W21"/>
  <c r="X19"/>
  <c r="AB19"/>
  <c r="AA11"/>
  <c r="R98"/>
  <c r="X20"/>
  <c r="W20"/>
  <c r="X14"/>
  <c r="AB14"/>
  <c r="AA20"/>
  <c r="R107"/>
  <c r="Y21" i="13"/>
  <c r="U13"/>
  <c r="Y9"/>
  <c r="Y13"/>
  <c r="X5" i="12"/>
  <c r="AB5"/>
  <c r="V24"/>
  <c r="V28" i="13"/>
  <c r="Y24"/>
  <c r="AA26" i="12"/>
  <c r="V9"/>
  <c r="V13" i="13"/>
  <c r="Y11"/>
  <c r="X16" i="12"/>
  <c r="W16"/>
  <c r="V12"/>
  <c r="V16" i="13"/>
  <c r="AB12" i="12"/>
  <c r="Y19" i="13"/>
  <c r="U18"/>
  <c r="AB17" i="12"/>
  <c r="AB9"/>
  <c r="W15"/>
  <c r="W24"/>
  <c r="W18"/>
  <c r="W7"/>
  <c r="AB16"/>
  <c r="AB13"/>
  <c r="AB21"/>
  <c r="AB10"/>
  <c r="W4"/>
  <c r="X8" i="13"/>
  <c r="AB22" i="12"/>
  <c r="W5"/>
  <c r="W19"/>
  <c r="F29" i="13"/>
  <c r="F18"/>
  <c r="B40"/>
  <c r="C40" s="1"/>
  <c r="B35"/>
  <c r="C35"/>
  <c r="F16"/>
  <c r="F46"/>
  <c r="F17"/>
  <c r="F43"/>
  <c r="B23"/>
  <c r="C23" s="1"/>
  <c r="B15"/>
  <c r="C15"/>
  <c r="B85"/>
  <c r="C85" s="1"/>
  <c r="B110"/>
  <c r="C110"/>
  <c r="B134"/>
  <c r="C134" s="1"/>
  <c r="B76"/>
  <c r="C76"/>
  <c r="B116"/>
  <c r="C116" s="1"/>
  <c r="F56"/>
  <c r="F80"/>
  <c r="B107"/>
  <c r="C107" s="1"/>
  <c r="F128"/>
  <c r="B63"/>
  <c r="C63"/>
  <c r="B87"/>
  <c r="C87"/>
  <c r="F61"/>
  <c r="B96"/>
  <c r="C96" s="1"/>
  <c r="F125"/>
  <c r="B44"/>
  <c r="C44"/>
  <c r="B88"/>
  <c r="C88"/>
  <c r="F132"/>
  <c r="B111"/>
  <c r="C111" s="1"/>
  <c r="F163"/>
  <c r="F143"/>
  <c r="F60"/>
  <c r="B156"/>
  <c r="C156"/>
  <c r="B77"/>
  <c r="C77" s="1"/>
  <c r="F158"/>
  <c r="B118"/>
  <c r="C118"/>
  <c r="B68"/>
  <c r="C68" s="1"/>
  <c r="B147"/>
  <c r="C147"/>
  <c r="B117"/>
  <c r="C117" s="1"/>
  <c r="F153"/>
  <c r="F59"/>
  <c r="B125"/>
  <c r="C125" s="1"/>
  <c r="F54"/>
  <c r="B79"/>
  <c r="C79"/>
  <c r="B153"/>
  <c r="C153"/>
  <c r="F156"/>
  <c r="F34"/>
  <c r="B47"/>
  <c r="C47"/>
  <c r="B66"/>
  <c r="C66"/>
  <c r="B122"/>
  <c r="C122"/>
  <c r="B89"/>
  <c r="C89"/>
  <c r="B103"/>
  <c r="C103"/>
  <c r="F142"/>
  <c r="B94"/>
  <c r="C94" s="1"/>
  <c r="F31"/>
  <c r="B21"/>
  <c r="C21"/>
  <c r="B48"/>
  <c r="C48"/>
  <c r="B43"/>
  <c r="C43"/>
  <c r="B19"/>
  <c r="C19"/>
  <c r="F48"/>
  <c r="B22"/>
  <c r="C22" s="1"/>
  <c r="B46"/>
  <c r="C46"/>
  <c r="B26"/>
  <c r="C26" s="1"/>
  <c r="B36"/>
  <c r="C36"/>
  <c r="F89"/>
  <c r="F114"/>
  <c r="B17"/>
  <c r="C17"/>
  <c r="B81"/>
  <c r="C81" s="1"/>
  <c r="F120"/>
  <c r="B57"/>
  <c r="C57"/>
  <c r="F87"/>
  <c r="F111"/>
  <c r="B130"/>
  <c r="C130"/>
  <c r="B65"/>
  <c r="C65"/>
  <c r="F94"/>
  <c r="F69"/>
  <c r="B97"/>
  <c r="C97"/>
  <c r="B126"/>
  <c r="C126"/>
  <c r="F68"/>
  <c r="B93"/>
  <c r="C93"/>
  <c r="B136"/>
  <c r="C136" s="1"/>
  <c r="F126"/>
  <c r="F123"/>
  <c r="B144"/>
  <c r="C144" s="1"/>
  <c r="B62"/>
  <c r="C62"/>
  <c r="F91"/>
  <c r="F82"/>
  <c r="B160"/>
  <c r="C160"/>
  <c r="B131"/>
  <c r="C131" s="1"/>
  <c r="F139"/>
  <c r="B155"/>
  <c r="C155"/>
  <c r="F130"/>
  <c r="F161"/>
  <c r="B119"/>
  <c r="C119"/>
  <c r="B50"/>
  <c r="C50"/>
  <c r="F66"/>
  <c r="F7"/>
  <c r="B74"/>
  <c r="C74"/>
  <c r="F134"/>
  <c r="F36"/>
  <c r="B95"/>
  <c r="C95"/>
  <c r="B143"/>
  <c r="C143"/>
  <c r="J12"/>
  <c r="J14"/>
  <c r="F81"/>
  <c r="B28"/>
  <c r="C28" s="1"/>
  <c r="F55"/>
  <c r="F12"/>
  <c r="B64"/>
  <c r="C64" s="1"/>
  <c r="F150"/>
  <c r="F145"/>
  <c r="F37"/>
  <c r="F24"/>
  <c r="F4"/>
  <c r="F45"/>
  <c r="F22"/>
  <c r="F52"/>
  <c r="F25"/>
  <c r="F49"/>
  <c r="B34"/>
  <c r="C34" s="1"/>
  <c r="F47"/>
  <c r="F90"/>
  <c r="F121"/>
  <c r="F28"/>
  <c r="F88"/>
  <c r="B121"/>
  <c r="C121"/>
  <c r="B58"/>
  <c r="C58"/>
  <c r="F95"/>
  <c r="B113"/>
  <c r="C113" s="1"/>
  <c r="F135"/>
  <c r="F70"/>
  <c r="B98"/>
  <c r="C98" s="1"/>
  <c r="B73"/>
  <c r="C73"/>
  <c r="F101"/>
  <c r="B127"/>
  <c r="C127"/>
  <c r="B69"/>
  <c r="C69"/>
  <c r="F100"/>
  <c r="F53"/>
  <c r="B132"/>
  <c r="C132"/>
  <c r="B151"/>
  <c r="C151"/>
  <c r="B145"/>
  <c r="C145"/>
  <c r="F75"/>
  <c r="F154"/>
  <c r="F106"/>
  <c r="B161"/>
  <c r="C161" s="1"/>
  <c r="F148"/>
  <c r="B142"/>
  <c r="C142"/>
  <c r="B25"/>
  <c r="C25"/>
  <c r="B135"/>
  <c r="C135"/>
  <c r="B162"/>
  <c r="C162"/>
  <c r="F138"/>
  <c r="B13"/>
  <c r="C13" s="1"/>
  <c r="F6"/>
  <c r="F35"/>
  <c r="F97"/>
  <c r="B67"/>
  <c r="C67"/>
  <c r="F85"/>
  <c r="B148"/>
  <c r="C148" s="1"/>
  <c r="B146"/>
  <c r="C146"/>
  <c r="B140"/>
  <c r="C140" s="1"/>
  <c r="F15"/>
  <c r="F38"/>
  <c r="B38"/>
  <c r="C38" s="1"/>
  <c r="F105"/>
  <c r="F72"/>
  <c r="B82"/>
  <c r="C82" s="1"/>
  <c r="F116"/>
  <c r="F159"/>
  <c r="F115"/>
  <c r="B6"/>
  <c r="C6"/>
  <c r="B42"/>
  <c r="C42" s="1"/>
  <c r="F26"/>
  <c r="B11"/>
  <c r="C11"/>
  <c r="F51"/>
  <c r="B27"/>
  <c r="C27"/>
  <c r="B51"/>
  <c r="C51" s="1"/>
  <c r="B30"/>
  <c r="C30"/>
  <c r="B9"/>
  <c r="C9" s="1"/>
  <c r="B39"/>
  <c r="C39"/>
  <c r="B59"/>
  <c r="C59" s="1"/>
  <c r="B91"/>
  <c r="C91"/>
  <c r="F122"/>
  <c r="B49"/>
  <c r="C49" s="1"/>
  <c r="B90"/>
  <c r="C90"/>
  <c r="B123"/>
  <c r="C123" s="1"/>
  <c r="F63"/>
  <c r="F96"/>
  <c r="B115"/>
  <c r="C115" s="1"/>
  <c r="B20"/>
  <c r="C20"/>
  <c r="F71"/>
  <c r="F10"/>
  <c r="F77"/>
  <c r="B102"/>
  <c r="C102" s="1"/>
  <c r="B128"/>
  <c r="C128"/>
  <c r="F76"/>
  <c r="B101"/>
  <c r="C101" s="1"/>
  <c r="F67"/>
  <c r="B137"/>
  <c r="C137" s="1"/>
  <c r="F83"/>
  <c r="F151"/>
  <c r="F92"/>
  <c r="B5"/>
  <c r="C5" s="1"/>
  <c r="F131"/>
  <c r="F98"/>
  <c r="F149"/>
  <c r="B149"/>
  <c r="C149"/>
  <c r="B56"/>
  <c r="C56" s="1"/>
  <c r="F137"/>
  <c r="B163"/>
  <c r="F162"/>
  <c r="B32"/>
  <c r="C32" s="1"/>
  <c r="B4"/>
  <c r="C4"/>
  <c r="F5"/>
  <c r="K18" s="1"/>
  <c r="F112"/>
  <c r="B120"/>
  <c r="C120"/>
  <c r="F109"/>
  <c r="F99"/>
  <c r="B60"/>
  <c r="C60"/>
  <c r="F23"/>
  <c r="F113"/>
  <c r="F84"/>
  <c r="B70"/>
  <c r="C70" s="1"/>
  <c r="F147"/>
  <c r="B10"/>
  <c r="C10"/>
  <c r="B45"/>
  <c r="C45" s="1"/>
  <c r="B29"/>
  <c r="C29"/>
  <c r="F13"/>
  <c r="B7"/>
  <c r="C7"/>
  <c r="F30"/>
  <c r="B8"/>
  <c r="C8" s="1"/>
  <c r="F33"/>
  <c r="F8"/>
  <c r="F42"/>
  <c r="B61"/>
  <c r="C61"/>
  <c r="B92"/>
  <c r="C92" s="1"/>
  <c r="B124"/>
  <c r="C124"/>
  <c r="F57"/>
  <c r="B100"/>
  <c r="C100" s="1"/>
  <c r="B129"/>
  <c r="C129"/>
  <c r="F64"/>
  <c r="B99"/>
  <c r="C99"/>
  <c r="F119"/>
  <c r="B53"/>
  <c r="C53" s="1"/>
  <c r="B72"/>
  <c r="C72"/>
  <c r="B31"/>
  <c r="C31" s="1"/>
  <c r="F78"/>
  <c r="B104"/>
  <c r="C104" s="1"/>
  <c r="F133"/>
  <c r="B78"/>
  <c r="C78"/>
  <c r="F108"/>
  <c r="B71"/>
  <c r="C71"/>
  <c r="F144"/>
  <c r="B139"/>
  <c r="C139" s="1"/>
  <c r="B152"/>
  <c r="C152"/>
  <c r="F118"/>
  <c r="F58"/>
  <c r="F141"/>
  <c r="B12"/>
  <c r="C12" s="1"/>
  <c r="B150"/>
  <c r="C150"/>
  <c r="B158"/>
  <c r="C158" s="1"/>
  <c r="F74"/>
  <c r="B138"/>
  <c r="C138"/>
  <c r="F140"/>
  <c r="F19"/>
  <c r="B24"/>
  <c r="C24"/>
  <c r="F110"/>
  <c r="F102"/>
  <c r="F21"/>
  <c r="B16"/>
  <c r="C16" s="1"/>
  <c r="B37"/>
  <c r="C37"/>
  <c r="F27"/>
  <c r="F14"/>
  <c r="F40"/>
  <c r="B14"/>
  <c r="C14"/>
  <c r="B41"/>
  <c r="C41" s="1"/>
  <c r="F20"/>
  <c r="F50"/>
  <c r="B83"/>
  <c r="C83" s="1"/>
  <c r="B109"/>
  <c r="C109"/>
  <c r="B133"/>
  <c r="C133" s="1"/>
  <c r="F73"/>
  <c r="B114"/>
  <c r="C114" s="1"/>
  <c r="F39"/>
  <c r="F79"/>
  <c r="B106"/>
  <c r="C106" s="1"/>
  <c r="F127"/>
  <c r="F62"/>
  <c r="F86"/>
  <c r="B54"/>
  <c r="C54" s="1"/>
  <c r="F93"/>
  <c r="F117"/>
  <c r="B33"/>
  <c r="C33" s="1"/>
  <c r="B86"/>
  <c r="C86"/>
  <c r="F124"/>
  <c r="B105"/>
  <c r="C105"/>
  <c r="F160"/>
  <c r="B84"/>
  <c r="C84" s="1"/>
  <c r="B55"/>
  <c r="C55"/>
  <c r="B154"/>
  <c r="C154" s="1"/>
  <c r="B75"/>
  <c r="C75"/>
  <c r="F157"/>
  <c r="B108"/>
  <c r="C108"/>
  <c r="B159"/>
  <c r="C159" s="1"/>
  <c r="B141"/>
  <c r="C141"/>
  <c r="F107"/>
  <c r="F146"/>
  <c r="F155"/>
  <c r="F32"/>
  <c r="F44"/>
  <c r="K17" s="1"/>
  <c r="F65"/>
  <c r="F103"/>
  <c r="F41"/>
  <c r="B112"/>
  <c r="C112" s="1"/>
  <c r="F136"/>
  <c r="B80"/>
  <c r="C80"/>
  <c r="F9"/>
  <c r="F11"/>
  <c r="B18"/>
  <c r="C18"/>
  <c r="F129"/>
  <c r="F104"/>
  <c r="B52"/>
  <c r="C52"/>
  <c r="F152"/>
  <c r="B157"/>
  <c r="C157"/>
  <c r="AB8" i="12"/>
  <c r="D20" i="13"/>
  <c r="E20" s="1"/>
  <c r="D8"/>
  <c r="E8"/>
  <c r="D99"/>
  <c r="E99" s="1"/>
  <c r="D32"/>
  <c r="E32"/>
  <c r="D74"/>
  <c r="E74" s="1"/>
  <c r="D83"/>
  <c r="E83"/>
  <c r="D25"/>
  <c r="E25" s="1"/>
  <c r="D66"/>
  <c r="E66"/>
  <c r="D80"/>
  <c r="E80" s="1"/>
  <c r="D15"/>
  <c r="E15"/>
  <c r="D50"/>
  <c r="E50" s="1"/>
  <c r="D103"/>
  <c r="E103"/>
  <c r="D119"/>
  <c r="E119" s="1"/>
  <c r="D67"/>
  <c r="E67"/>
  <c r="D155"/>
  <c r="E155" s="1"/>
  <c r="D143"/>
  <c r="E143"/>
  <c r="D72"/>
  <c r="E72" s="1"/>
  <c r="D27"/>
  <c r="E27"/>
  <c r="D47"/>
  <c r="E47" s="1"/>
  <c r="D54"/>
  <c r="E54"/>
  <c r="D10"/>
  <c r="E10" s="1"/>
  <c r="D136"/>
  <c r="E136"/>
  <c r="D38"/>
  <c r="E38" s="1"/>
  <c r="D86"/>
  <c r="E86"/>
  <c r="D14"/>
  <c r="E14" s="1"/>
  <c r="D13"/>
  <c r="E13"/>
  <c r="D42"/>
  <c r="E42" s="1"/>
  <c r="D137"/>
  <c r="E137"/>
  <c r="D52"/>
  <c r="E52" s="1"/>
  <c r="D19"/>
  <c r="E19"/>
  <c r="D106"/>
  <c r="E106" s="1"/>
  <c r="D36"/>
  <c r="E36"/>
  <c r="D75"/>
  <c r="E75" s="1"/>
  <c r="D88"/>
  <c r="E88"/>
  <c r="D29"/>
  <c r="E29" s="1"/>
  <c r="D79"/>
  <c r="E79"/>
  <c r="D94"/>
  <c r="E94" s="1"/>
  <c r="D22"/>
  <c r="E22"/>
  <c r="D61"/>
  <c r="E61" s="1"/>
  <c r="D111"/>
  <c r="E111"/>
  <c r="D139"/>
  <c r="E139" s="1"/>
  <c r="D96"/>
  <c r="E96"/>
  <c r="D160"/>
  <c r="E160" s="1"/>
  <c r="D151"/>
  <c r="E151"/>
  <c r="D128"/>
  <c r="E128" s="1"/>
  <c r="D43"/>
  <c r="E43"/>
  <c r="D76"/>
  <c r="E76" s="1"/>
  <c r="D131"/>
  <c r="E131"/>
  <c r="D11"/>
  <c r="E11" s="1"/>
  <c r="D71"/>
  <c r="E71"/>
  <c r="D102"/>
  <c r="E102" s="1"/>
  <c r="D24"/>
  <c r="E24"/>
  <c r="D129"/>
  <c r="E129" s="1"/>
  <c r="D9"/>
  <c r="E9"/>
  <c r="D58"/>
  <c r="E58" s="1"/>
  <c r="D108"/>
  <c r="E108"/>
  <c r="D40"/>
  <c r="E40" s="1"/>
  <c r="D97"/>
  <c r="E97"/>
  <c r="D89"/>
  <c r="E89" s="1"/>
  <c r="D33"/>
  <c r="E33"/>
  <c r="D81"/>
  <c r="E81" s="1"/>
  <c r="D95"/>
  <c r="E95"/>
  <c r="D26"/>
  <c r="E26" s="1"/>
  <c r="D62"/>
  <c r="E62"/>
  <c r="D120"/>
  <c r="E120" s="1"/>
  <c r="D147"/>
  <c r="E147"/>
  <c r="D101"/>
  <c r="E101" s="1"/>
  <c r="D162"/>
  <c r="E162"/>
  <c r="D159"/>
  <c r="E159" s="1"/>
  <c r="D134"/>
  <c r="E134"/>
  <c r="D100"/>
  <c r="E100" s="1"/>
  <c r="D17"/>
  <c r="E17"/>
  <c r="D127"/>
  <c r="E127" s="1"/>
  <c r="D53"/>
  <c r="E53"/>
  <c r="D122"/>
  <c r="E122" s="1"/>
  <c r="D126"/>
  <c r="E126"/>
  <c r="D12"/>
  <c r="E12" s="1"/>
  <c r="D59"/>
  <c r="E59"/>
  <c r="D85"/>
  <c r="E85" s="1"/>
  <c r="D51"/>
  <c r="E51"/>
  <c r="D69"/>
  <c r="E69" s="1"/>
  <c r="D117"/>
  <c r="E117"/>
  <c r="D44"/>
  <c r="E44" s="1"/>
  <c r="D98"/>
  <c r="E98"/>
  <c r="D91"/>
  <c r="E91" s="1"/>
  <c r="D37"/>
  <c r="E37"/>
  <c r="D90"/>
  <c r="E90" s="1"/>
  <c r="D113"/>
  <c r="E113"/>
  <c r="D30"/>
  <c r="E30" s="1"/>
  <c r="D63"/>
  <c r="E63"/>
  <c r="D125"/>
  <c r="E125" s="1"/>
  <c r="D156"/>
  <c r="E156"/>
  <c r="D109"/>
  <c r="E109" s="1"/>
  <c r="D23"/>
  <c r="E23"/>
  <c r="D4"/>
  <c r="I7" s="1"/>
  <c r="D142"/>
  <c r="E142"/>
  <c r="D114"/>
  <c r="E114" s="1"/>
  <c r="D115"/>
  <c r="E115"/>
  <c r="D150"/>
  <c r="E150" s="1"/>
  <c r="D82"/>
  <c r="E82"/>
  <c r="D56"/>
  <c r="E56" s="1"/>
  <c r="D104"/>
  <c r="E104"/>
  <c r="D149"/>
  <c r="E149" s="1"/>
  <c r="D49"/>
  <c r="E49"/>
  <c r="D148"/>
  <c r="E148" s="1"/>
  <c r="D6"/>
  <c r="E6"/>
  <c r="D7"/>
  <c r="E7" s="1"/>
  <c r="D77"/>
  <c r="E77"/>
  <c r="D130"/>
  <c r="E130" s="1"/>
  <c r="D48"/>
  <c r="E48"/>
  <c r="D105"/>
  <c r="E105" s="1"/>
  <c r="D92"/>
  <c r="E92"/>
  <c r="D41"/>
  <c r="E41" s="1"/>
  <c r="D55"/>
  <c r="E55"/>
  <c r="D118"/>
  <c r="E118" s="1"/>
  <c r="D34"/>
  <c r="E34"/>
  <c r="D65"/>
  <c r="E65" s="1"/>
  <c r="D133"/>
  <c r="E133"/>
  <c r="D161"/>
  <c r="E161" s="1"/>
  <c r="D124"/>
  <c r="E124"/>
  <c r="D39"/>
  <c r="E39" s="1"/>
  <c r="D31"/>
  <c r="E31"/>
  <c r="D144"/>
  <c r="E144" s="1"/>
  <c r="D116"/>
  <c r="E116"/>
  <c r="D121"/>
  <c r="E121" s="1"/>
  <c r="D5"/>
  <c r="E5"/>
  <c r="D141"/>
  <c r="E141" s="1"/>
  <c r="D60"/>
  <c r="E60"/>
  <c r="D78"/>
  <c r="E78" s="1"/>
  <c r="D16"/>
  <c r="E16"/>
  <c r="D18"/>
  <c r="E18" s="1"/>
  <c r="D93"/>
  <c r="E93"/>
  <c r="D28"/>
  <c r="E28" s="1"/>
  <c r="D68"/>
  <c r="E68"/>
  <c r="D73"/>
  <c r="E73" s="1"/>
  <c r="D21"/>
  <c r="E21"/>
  <c r="D64"/>
  <c r="E64" s="1"/>
  <c r="D70"/>
  <c r="E70"/>
  <c r="D135"/>
  <c r="E135" s="1"/>
  <c r="D46"/>
  <c r="E46"/>
  <c r="D87"/>
  <c r="E87" s="1"/>
  <c r="D107"/>
  <c r="E107"/>
  <c r="D157"/>
  <c r="E157" s="1"/>
  <c r="D146"/>
  <c r="E146"/>
  <c r="D138"/>
  <c r="E138" s="1"/>
  <c r="D123"/>
  <c r="E123"/>
  <c r="D153"/>
  <c r="E153" s="1"/>
  <c r="D163"/>
  <c r="E163"/>
  <c r="D158"/>
  <c r="E158" s="1"/>
  <c r="D132"/>
  <c r="E132"/>
  <c r="D45"/>
  <c r="E45" s="1"/>
  <c r="D35"/>
  <c r="E35"/>
  <c r="D145"/>
  <c r="E145" s="1"/>
  <c r="D84"/>
  <c r="E84"/>
  <c r="D57"/>
  <c r="E57" s="1"/>
  <c r="D140"/>
  <c r="E140"/>
  <c r="D112"/>
  <c r="E112" s="1"/>
  <c r="D154"/>
  <c r="E154"/>
  <c r="D110"/>
  <c r="E110" s="1"/>
  <c r="D152"/>
  <c r="E152"/>
  <c r="W23" i="12"/>
  <c r="AB20"/>
  <c r="W6"/>
  <c r="W14"/>
  <c r="W11"/>
  <c r="J9" i="13"/>
  <c r="J17"/>
  <c r="J18"/>
  <c r="J15"/>
  <c r="C163"/>
  <c r="I8"/>
  <c r="I9" s="1"/>
  <c r="E4"/>
  <c r="B11" i="8" l="1"/>
  <c r="E10"/>
  <c r="G10" s="1"/>
  <c r="O10" s="1"/>
  <c r="I10"/>
  <c r="K9"/>
  <c r="L5"/>
  <c r="K5"/>
  <c r="O5"/>
  <c r="C11"/>
  <c r="D10"/>
  <c r="O6"/>
  <c r="K6"/>
  <c r="L6"/>
  <c r="N6" s="1"/>
  <c r="J7"/>
  <c r="T8"/>
  <c r="U7"/>
  <c r="K8"/>
  <c r="O8"/>
  <c r="O7"/>
  <c r="K7"/>
  <c r="D9"/>
  <c r="U6"/>
  <c r="K15" i="13"/>
  <c r="J8"/>
  <c r="J7"/>
  <c r="K5"/>
  <c r="L7" i="8" l="1"/>
  <c r="N7" s="1"/>
  <c r="J8"/>
  <c r="B12"/>
  <c r="E11"/>
  <c r="N5"/>
  <c r="T9"/>
  <c r="U8"/>
  <c r="I11"/>
  <c r="K10"/>
  <c r="D11"/>
  <c r="G11"/>
  <c r="O11" s="1"/>
  <c r="C12"/>
  <c r="C62"/>
  <c r="C61" l="1"/>
  <c r="C60"/>
  <c r="E12"/>
  <c r="B13"/>
  <c r="T10"/>
  <c r="U9"/>
  <c r="L8"/>
  <c r="N8" s="1"/>
  <c r="J9"/>
  <c r="D12"/>
  <c r="C13"/>
  <c r="G12"/>
  <c r="O12" s="1"/>
  <c r="K11"/>
  <c r="I12"/>
  <c r="C63"/>
  <c r="I13" l="1"/>
  <c r="K12"/>
  <c r="T11"/>
  <c r="U10"/>
  <c r="C14"/>
  <c r="D13"/>
  <c r="L9"/>
  <c r="N9" s="1"/>
  <c r="C64" s="1"/>
  <c r="J10"/>
  <c r="E13"/>
  <c r="G13" s="1"/>
  <c r="O13" s="1"/>
  <c r="B14"/>
  <c r="L10" l="1"/>
  <c r="N10" s="1"/>
  <c r="J11"/>
  <c r="C15"/>
  <c r="D14"/>
  <c r="U11"/>
  <c r="T12"/>
  <c r="B15"/>
  <c r="E14"/>
  <c r="G14" s="1"/>
  <c r="O14" s="1"/>
  <c r="I14"/>
  <c r="K13"/>
  <c r="C65"/>
  <c r="J12" l="1"/>
  <c r="L11"/>
  <c r="N11" s="1"/>
  <c r="T13"/>
  <c r="U12"/>
  <c r="C16"/>
  <c r="D15"/>
  <c r="K14"/>
  <c r="I15"/>
  <c r="B16"/>
  <c r="E15"/>
  <c r="G15" s="1"/>
  <c r="O15" s="1"/>
  <c r="C66"/>
  <c r="I16" l="1"/>
  <c r="K15"/>
  <c r="L12"/>
  <c r="N12" s="1"/>
  <c r="J13"/>
  <c r="E16"/>
  <c r="G16" s="1"/>
  <c r="O16" s="1"/>
  <c r="B17"/>
  <c r="D16"/>
  <c r="C17"/>
  <c r="C67"/>
  <c r="U13"/>
  <c r="T14"/>
  <c r="K16" l="1"/>
  <c r="I17"/>
  <c r="T15"/>
  <c r="U14"/>
  <c r="C18"/>
  <c r="D17"/>
  <c r="B18"/>
  <c r="E17"/>
  <c r="G17" s="1"/>
  <c r="O17" s="1"/>
  <c r="J14"/>
  <c r="L13"/>
  <c r="N13" s="1"/>
  <c r="C68"/>
  <c r="I18" l="1"/>
  <c r="K17"/>
  <c r="L14"/>
  <c r="N14" s="1"/>
  <c r="C69" s="1"/>
  <c r="J15"/>
  <c r="D18"/>
  <c r="C19"/>
  <c r="G18"/>
  <c r="O18" s="1"/>
  <c r="E18"/>
  <c r="B19"/>
  <c r="U15"/>
  <c r="T16"/>
  <c r="U16" l="1"/>
  <c r="T17"/>
  <c r="I19"/>
  <c r="K18"/>
  <c r="L15"/>
  <c r="N15" s="1"/>
  <c r="J16"/>
  <c r="E19"/>
  <c r="B20"/>
  <c r="G19"/>
  <c r="O19" s="1"/>
  <c r="D19"/>
  <c r="C20"/>
  <c r="L16" l="1"/>
  <c r="N16" s="1"/>
  <c r="J17"/>
  <c r="U17"/>
  <c r="T18"/>
  <c r="K19"/>
  <c r="I20"/>
  <c r="C21"/>
  <c r="D20"/>
  <c r="B21"/>
  <c r="E20"/>
  <c r="G20" s="1"/>
  <c r="O20" s="1"/>
  <c r="C70"/>
  <c r="E21" l="1"/>
  <c r="G21" s="1"/>
  <c r="O21" s="1"/>
  <c r="B22"/>
  <c r="I21"/>
  <c r="K20"/>
  <c r="L17"/>
  <c r="N17" s="1"/>
  <c r="C72" s="1"/>
  <c r="J18"/>
  <c r="C22"/>
  <c r="D21"/>
  <c r="U18"/>
  <c r="T19"/>
  <c r="C71"/>
  <c r="T20" l="1"/>
  <c r="U19"/>
  <c r="D22"/>
  <c r="G22"/>
  <c r="O22" s="1"/>
  <c r="C23"/>
  <c r="L18"/>
  <c r="N18" s="1"/>
  <c r="C73" s="1"/>
  <c r="J19"/>
  <c r="B23"/>
  <c r="E22"/>
  <c r="I22"/>
  <c r="K21"/>
  <c r="C24" l="1"/>
  <c r="D23"/>
  <c r="T21"/>
  <c r="U20"/>
  <c r="B26"/>
  <c r="B24"/>
  <c r="E23"/>
  <c r="G23" s="1"/>
  <c r="O23" s="1"/>
  <c r="I23"/>
  <c r="K22"/>
  <c r="L19"/>
  <c r="N19" s="1"/>
  <c r="J20"/>
  <c r="I24" l="1"/>
  <c r="I26"/>
  <c r="K23"/>
  <c r="B33"/>
  <c r="E26"/>
  <c r="B29"/>
  <c r="E29" s="1"/>
  <c r="B35"/>
  <c r="B27"/>
  <c r="B25"/>
  <c r="L20"/>
  <c r="N20" s="1"/>
  <c r="C75" s="1"/>
  <c r="J21"/>
  <c r="T22"/>
  <c r="U21"/>
  <c r="C74"/>
  <c r="T23" l="1"/>
  <c r="U23" s="1"/>
  <c r="U22"/>
  <c r="B28"/>
  <c r="B34"/>
  <c r="I27"/>
  <c r="E35"/>
  <c r="B38"/>
  <c r="J22"/>
  <c r="L21"/>
  <c r="N21" s="1"/>
  <c r="B30"/>
  <c r="E30" s="1"/>
  <c r="E27"/>
  <c r="E33"/>
  <c r="B36"/>
  <c r="B45"/>
  <c r="J23" l="1"/>
  <c r="L22"/>
  <c r="N22" s="1"/>
  <c r="I28"/>
  <c r="E36"/>
  <c r="B39"/>
  <c r="B31"/>
  <c r="E31" s="1"/>
  <c r="E28"/>
  <c r="E45"/>
  <c r="B48"/>
  <c r="E38"/>
  <c r="B41"/>
  <c r="E34"/>
  <c r="B37"/>
  <c r="C77"/>
  <c r="C76"/>
  <c r="L23" l="1"/>
  <c r="N23" s="1"/>
  <c r="C78" s="1"/>
  <c r="J24"/>
  <c r="J26"/>
  <c r="B40"/>
  <c r="E37"/>
  <c r="B51"/>
  <c r="E48"/>
  <c r="B42"/>
  <c r="E42" s="1"/>
  <c r="E39"/>
  <c r="E41"/>
  <c r="B44"/>
  <c r="B47" s="1"/>
  <c r="I29"/>
  <c r="C29" l="1"/>
  <c r="G29" s="1"/>
  <c r="C26"/>
  <c r="G26" s="1"/>
  <c r="K26" s="1"/>
  <c r="C30"/>
  <c r="G30" s="1"/>
  <c r="C28"/>
  <c r="G28" s="1"/>
  <c r="K28" s="1"/>
  <c r="C27"/>
  <c r="G27" s="1"/>
  <c r="K27" s="1"/>
  <c r="C31"/>
  <c r="G31" s="1"/>
  <c r="K29"/>
  <c r="I30"/>
  <c r="B54"/>
  <c r="E54" s="1"/>
  <c r="E51"/>
  <c r="L26"/>
  <c r="N26" s="1"/>
  <c r="P26" s="1"/>
  <c r="J27"/>
  <c r="B50"/>
  <c r="E47"/>
  <c r="B43"/>
  <c r="E40"/>
  <c r="J28" l="1"/>
  <c r="L27"/>
  <c r="N27" s="1"/>
  <c r="P27" s="1"/>
  <c r="I31"/>
  <c r="K31" s="1"/>
  <c r="K30"/>
  <c r="I33"/>
  <c r="E43"/>
  <c r="B46"/>
  <c r="E50"/>
  <c r="B53"/>
  <c r="B56" l="1"/>
  <c r="E53"/>
  <c r="I34"/>
  <c r="I45"/>
  <c r="L28"/>
  <c r="N28" s="1"/>
  <c r="P28" s="1"/>
  <c r="J29"/>
  <c r="E46"/>
  <c r="B49"/>
  <c r="L29" l="1"/>
  <c r="N29" s="1"/>
  <c r="P29" s="1"/>
  <c r="J30"/>
  <c r="I46"/>
  <c r="I35"/>
  <c r="E49"/>
  <c r="B52"/>
  <c r="B55" l="1"/>
  <c r="E55" s="1"/>
  <c r="E52"/>
  <c r="L30"/>
  <c r="N30" s="1"/>
  <c r="P30" s="1"/>
  <c r="Q27" s="1"/>
  <c r="J33"/>
  <c r="J31"/>
  <c r="L31" s="1"/>
  <c r="N31" s="1"/>
  <c r="P31" s="1"/>
  <c r="Q31" s="1"/>
  <c r="I36"/>
  <c r="I47"/>
  <c r="J34" l="1"/>
  <c r="J45"/>
  <c r="Q28"/>
  <c r="Q26"/>
  <c r="Q29"/>
  <c r="I48"/>
  <c r="I37"/>
  <c r="Q30"/>
  <c r="C41" l="1"/>
  <c r="G41" s="1"/>
  <c r="C39"/>
  <c r="G39" s="1"/>
  <c r="C35"/>
  <c r="G35" s="1"/>
  <c r="K35" s="1"/>
  <c r="C43"/>
  <c r="G43" s="1"/>
  <c r="C42"/>
  <c r="G42" s="1"/>
  <c r="C40"/>
  <c r="G40" s="1"/>
  <c r="C36"/>
  <c r="G36" s="1"/>
  <c r="K36" s="1"/>
  <c r="C37"/>
  <c r="G37" s="1"/>
  <c r="C33"/>
  <c r="G33" s="1"/>
  <c r="C38"/>
  <c r="G38" s="1"/>
  <c r="C34"/>
  <c r="G34" s="1"/>
  <c r="K34" s="1"/>
  <c r="I49"/>
  <c r="K37"/>
  <c r="I38"/>
  <c r="J46"/>
  <c r="J35"/>
  <c r="L34"/>
  <c r="K33" l="1"/>
  <c r="L33"/>
  <c r="N33" s="1"/>
  <c r="P33" s="1"/>
  <c r="N34"/>
  <c r="P34" s="1"/>
  <c r="I39"/>
  <c r="I50"/>
  <c r="K38"/>
  <c r="J36"/>
  <c r="J47"/>
  <c r="L35"/>
  <c r="N35" s="1"/>
  <c r="P35" s="1"/>
  <c r="L36" l="1"/>
  <c r="N36" s="1"/>
  <c r="P36" s="1"/>
  <c r="J37"/>
  <c r="J48"/>
  <c r="K39"/>
  <c r="I51"/>
  <c r="I40"/>
  <c r="K40" l="1"/>
  <c r="I52"/>
  <c r="I41"/>
  <c r="L37"/>
  <c r="N37" s="1"/>
  <c r="P37" s="1"/>
  <c r="J49"/>
  <c r="J38"/>
  <c r="K41" l="1"/>
  <c r="I42"/>
  <c r="I53"/>
  <c r="J39"/>
  <c r="J50"/>
  <c r="L38"/>
  <c r="N38" s="1"/>
  <c r="P38" s="1"/>
  <c r="L39" l="1"/>
  <c r="N39" s="1"/>
  <c r="P39" s="1"/>
  <c r="J51"/>
  <c r="J40"/>
  <c r="I43"/>
  <c r="I54"/>
  <c r="K42"/>
  <c r="I55" l="1"/>
  <c r="K43"/>
  <c r="J41"/>
  <c r="L40"/>
  <c r="N40" s="1"/>
  <c r="P40" s="1"/>
  <c r="J52"/>
  <c r="L41" l="1"/>
  <c r="N41" s="1"/>
  <c r="P41" s="1"/>
  <c r="J42"/>
  <c r="J53"/>
  <c r="L42" l="1"/>
  <c r="N42" s="1"/>
  <c r="P42" s="1"/>
  <c r="J43"/>
  <c r="J54"/>
  <c r="L43" l="1"/>
  <c r="N43" s="1"/>
  <c r="P43" s="1"/>
  <c r="Q40" s="1"/>
  <c r="J55"/>
  <c r="Q41" l="1"/>
  <c r="Q43"/>
  <c r="Q33"/>
  <c r="Q36"/>
  <c r="Q34"/>
  <c r="Q35"/>
  <c r="Q37"/>
  <c r="Q38"/>
  <c r="Q39"/>
  <c r="Q42"/>
  <c r="C50" l="1"/>
  <c r="G50" s="1"/>
  <c r="C48"/>
  <c r="G48" s="1"/>
  <c r="C55"/>
  <c r="G55" s="1"/>
  <c r="C53"/>
  <c r="G53" s="1"/>
  <c r="C45"/>
  <c r="G45" s="1"/>
  <c r="C47"/>
  <c r="G47" s="1"/>
  <c r="C49"/>
  <c r="G49" s="1"/>
  <c r="C46"/>
  <c r="G46" s="1"/>
  <c r="C52"/>
  <c r="G52" s="1"/>
  <c r="C54"/>
  <c r="G54" s="1"/>
  <c r="C51"/>
  <c r="G51" s="1"/>
  <c r="K52" l="1"/>
  <c r="L52"/>
  <c r="N52" s="1"/>
  <c r="P52" s="1"/>
  <c r="K45"/>
  <c r="L45"/>
  <c r="N45" s="1"/>
  <c r="P45" s="1"/>
  <c r="K50"/>
  <c r="L50"/>
  <c r="N50" s="1"/>
  <c r="P50" s="1"/>
  <c r="K47"/>
  <c r="L47"/>
  <c r="N47" s="1"/>
  <c r="P47" s="1"/>
  <c r="K48"/>
  <c r="L48"/>
  <c r="N48" s="1"/>
  <c r="P48" s="1"/>
  <c r="K51"/>
  <c r="L51"/>
  <c r="N51" s="1"/>
  <c r="P51" s="1"/>
  <c r="K49"/>
  <c r="L49"/>
  <c r="N49" s="1"/>
  <c r="P49" s="1"/>
  <c r="K55"/>
  <c r="L55"/>
  <c r="N55" s="1"/>
  <c r="P55" s="1"/>
  <c r="K54"/>
  <c r="L54"/>
  <c r="N54" s="1"/>
  <c r="P54" s="1"/>
  <c r="K46"/>
  <c r="L46"/>
  <c r="N46" s="1"/>
  <c r="P46" s="1"/>
  <c r="K53"/>
  <c r="L53"/>
  <c r="N53" s="1"/>
  <c r="P53" s="1"/>
  <c r="Q53" s="1"/>
  <c r="Q49" l="1"/>
  <c r="Q48"/>
  <c r="Q50"/>
  <c r="Q52"/>
  <c r="Q54"/>
  <c r="Q46"/>
  <c r="Q55"/>
  <c r="Q51"/>
  <c r="Q47"/>
  <c r="Q45"/>
  <c r="Q60" s="1"/>
  <c r="X26" l="1"/>
  <c r="W26" s="1"/>
  <c r="J72" s="1"/>
  <c r="J73" s="1"/>
  <c r="X24"/>
  <c r="X14"/>
  <c r="Y26" i="11"/>
  <c r="X5" i="8"/>
  <c r="X4"/>
  <c r="V19"/>
  <c r="V23" i="11" s="1"/>
  <c r="AA16" i="8"/>
  <c r="X13"/>
  <c r="X15"/>
  <c r="W15" s="1"/>
  <c r="O5" i="11"/>
  <c r="V14" i="8"/>
  <c r="V18" i="11" s="1"/>
  <c r="AB16" i="8"/>
  <c r="Y13" i="11"/>
  <c r="Y27"/>
  <c r="Y21"/>
  <c r="AA4" i="8"/>
  <c r="U22" i="11"/>
  <c r="U17"/>
  <c r="H8"/>
  <c r="X21" i="8"/>
  <c r="Y18" i="11"/>
  <c r="Y17"/>
  <c r="Y10"/>
  <c r="AA18" i="8"/>
  <c r="X19"/>
  <c r="U15" i="11"/>
  <c r="AA24" i="8"/>
  <c r="Y11" i="11"/>
  <c r="X23" i="8"/>
  <c r="AA13"/>
  <c r="H5" i="13"/>
  <c r="U8" i="11"/>
  <c r="AB8" i="8"/>
  <c r="AB19"/>
  <c r="R8" i="13"/>
  <c r="S8" s="1"/>
  <c r="U13" i="11"/>
  <c r="X12" i="8"/>
  <c r="W12" s="1"/>
  <c r="Y28" i="11"/>
  <c r="Y20"/>
  <c r="V21" i="8"/>
  <c r="V25" i="11" s="1"/>
  <c r="V8" i="8"/>
  <c r="V12" i="11" s="1"/>
  <c r="Y16"/>
  <c r="V20" i="8"/>
  <c r="V24" i="11" s="1"/>
  <c r="V7" i="8"/>
  <c r="V11" i="11" s="1"/>
  <c r="U19"/>
  <c r="Y23"/>
  <c r="U10"/>
  <c r="X16" i="8"/>
  <c r="W16" s="1"/>
  <c r="AA19"/>
  <c r="U21" i="11"/>
  <c r="AA23" i="8"/>
  <c r="V4"/>
  <c r="V8" i="11" s="1"/>
  <c r="Y15"/>
  <c r="AA26" i="8"/>
  <c r="I5" i="13"/>
  <c r="V12" i="8"/>
  <c r="V16" i="11" s="1"/>
  <c r="AA6" i="8"/>
  <c r="V26"/>
  <c r="G72" s="1"/>
  <c r="U25" i="11"/>
  <c r="U27"/>
  <c r="W24" i="8"/>
  <c r="U20" i="11"/>
  <c r="X11" i="8"/>
  <c r="W11" s="1"/>
  <c r="V10"/>
  <c r="V14" i="11" s="1"/>
  <c r="AA22" i="8"/>
  <c r="AB15"/>
  <c r="W27"/>
  <c r="W14"/>
  <c r="V13"/>
  <c r="V17" i="11" s="1"/>
  <c r="V18" i="8"/>
  <c r="V22" i="11" s="1"/>
  <c r="AB4" i="8"/>
  <c r="Y25" i="11"/>
  <c r="AA14" i="8"/>
  <c r="H5" i="11"/>
  <c r="V11" i="8"/>
  <c r="V15" i="11" s="1"/>
  <c r="AA8" i="8"/>
  <c r="X22"/>
  <c r="AB22" s="1"/>
  <c r="X8"/>
  <c r="H7" i="11"/>
  <c r="O5" i="13"/>
  <c r="U11" i="11"/>
  <c r="U9"/>
  <c r="AA9" i="8"/>
  <c r="X9"/>
  <c r="W9" s="1"/>
  <c r="AA10"/>
  <c r="W21"/>
  <c r="V16"/>
  <c r="V20" i="11" s="1"/>
  <c r="B3"/>
  <c r="X17" i="8"/>
  <c r="W17" s="1"/>
  <c r="X6"/>
  <c r="AB6" s="1"/>
  <c r="AA20"/>
  <c r="Y14" i="11"/>
  <c r="AA5" i="8"/>
  <c r="Y22" i="11"/>
  <c r="V17" i="8"/>
  <c r="V21" i="11" s="1"/>
  <c r="AA11" i="8"/>
  <c r="Y12" i="11"/>
  <c r="V9" i="8"/>
  <c r="V13" i="11" s="1"/>
  <c r="AA15" i="8"/>
  <c r="U14" i="11"/>
  <c r="X10" i="8"/>
  <c r="AB10" s="1"/>
  <c r="V6"/>
  <c r="V10" i="11" s="1"/>
  <c r="X20" i="8"/>
  <c r="W20" s="1"/>
  <c r="U24" i="11"/>
  <c r="X18" i="8"/>
  <c r="AB18" s="1"/>
  <c r="V5"/>
  <c r="V9" i="11" s="1"/>
  <c r="X7" i="8"/>
  <c r="AB7" s="1"/>
  <c r="W5"/>
  <c r="U26" i="11"/>
  <c r="U23"/>
  <c r="AB13" i="8"/>
  <c r="AA12"/>
  <c r="U16" i="11"/>
  <c r="R8"/>
  <c r="S8" s="1"/>
  <c r="V24" i="8"/>
  <c r="V28" i="11" s="1"/>
  <c r="D3"/>
  <c r="AB21" i="8"/>
  <c r="Y24" i="11"/>
  <c r="AB24" i="8"/>
  <c r="W19"/>
  <c r="AA21"/>
  <c r="AB23"/>
  <c r="I5" i="11"/>
  <c r="AB14" i="8"/>
  <c r="W13"/>
  <c r="W4"/>
  <c r="X8" i="11" s="1"/>
  <c r="AB26" i="8"/>
  <c r="AB11"/>
  <c r="U18" i="11"/>
  <c r="Y8"/>
  <c r="H8" i="13"/>
  <c r="W23" i="8"/>
  <c r="U28" i="11"/>
  <c r="AA7" i="8"/>
  <c r="Y9" i="11"/>
  <c r="W8" i="8"/>
  <c r="V22"/>
  <c r="V26" i="11" s="1"/>
  <c r="AB5" i="8"/>
  <c r="Y19" i="11"/>
  <c r="H7" i="13"/>
  <c r="W22" i="8"/>
  <c r="U12" i="11"/>
  <c r="AA17" i="8"/>
  <c r="AB12"/>
  <c r="V15"/>
  <c r="V19" i="11" s="1"/>
  <c r="D110" i="8"/>
  <c r="V23"/>
  <c r="V27" i="11" s="1"/>
  <c r="AB9" i="8"/>
  <c r="X13" i="13" l="1"/>
  <c r="X13" i="11"/>
  <c r="X20" i="13"/>
  <c r="X20" i="11"/>
  <c r="X21"/>
  <c r="X21" i="13"/>
  <c r="X16"/>
  <c r="X16" i="11"/>
  <c r="X19" i="13"/>
  <c r="X19" i="11"/>
  <c r="X24"/>
  <c r="X24" i="13"/>
  <c r="X15" i="11"/>
  <c r="X15" i="13"/>
  <c r="J4" i="11"/>
  <c r="J5"/>
  <c r="AB20" i="8"/>
  <c r="W18"/>
  <c r="R7" i="13"/>
  <c r="S7" s="1"/>
  <c r="R7" i="11"/>
  <c r="S7" s="1"/>
  <c r="AB17" i="8"/>
  <c r="H4" i="11"/>
  <c r="X25"/>
  <c r="X25" i="13"/>
  <c r="X18" i="11"/>
  <c r="X18" i="13"/>
  <c r="X28"/>
  <c r="X28" i="11"/>
  <c r="J4" i="13"/>
  <c r="J5"/>
  <c r="W6" i="8"/>
  <c r="X27" i="11"/>
  <c r="X27" i="13"/>
  <c r="D16" i="11"/>
  <c r="E16" s="1"/>
  <c r="D28"/>
  <c r="E28" s="1"/>
  <c r="D40"/>
  <c r="E40" s="1"/>
  <c r="D4"/>
  <c r="D58"/>
  <c r="E58" s="1"/>
  <c r="D66"/>
  <c r="E66" s="1"/>
  <c r="D78"/>
  <c r="E78" s="1"/>
  <c r="D21"/>
  <c r="E21" s="1"/>
  <c r="D37"/>
  <c r="E37" s="1"/>
  <c r="D52"/>
  <c r="E52" s="1"/>
  <c r="D70"/>
  <c r="E70" s="1"/>
  <c r="D85"/>
  <c r="E85" s="1"/>
  <c r="D123"/>
  <c r="E123" s="1"/>
  <c r="D22"/>
  <c r="E22" s="1"/>
  <c r="D53"/>
  <c r="E53" s="1"/>
  <c r="D89"/>
  <c r="E89" s="1"/>
  <c r="D137"/>
  <c r="E137" s="1"/>
  <c r="D103"/>
  <c r="E103" s="1"/>
  <c r="D133"/>
  <c r="E133" s="1"/>
  <c r="D23"/>
  <c r="E23" s="1"/>
  <c r="D86"/>
  <c r="E86" s="1"/>
  <c r="D92"/>
  <c r="E92" s="1"/>
  <c r="D100"/>
  <c r="E100" s="1"/>
  <c r="D108"/>
  <c r="E108" s="1"/>
  <c r="D121"/>
  <c r="E121" s="1"/>
  <c r="D130"/>
  <c r="E130" s="1"/>
  <c r="D61"/>
  <c r="E61" s="1"/>
  <c r="D161"/>
  <c r="E161" s="1"/>
  <c r="D43"/>
  <c r="E43" s="1"/>
  <c r="D146"/>
  <c r="E146" s="1"/>
  <c r="D128"/>
  <c r="E128" s="1"/>
  <c r="D18"/>
  <c r="E18" s="1"/>
  <c r="D156"/>
  <c r="E156" s="1"/>
  <c r="D159"/>
  <c r="E159" s="1"/>
  <c r="D73"/>
  <c r="E73" s="1"/>
  <c r="D129"/>
  <c r="E129" s="1"/>
  <c r="D10"/>
  <c r="E10" s="1"/>
  <c r="D157"/>
  <c r="E157" s="1"/>
  <c r="D120"/>
  <c r="E120" s="1"/>
  <c r="D160"/>
  <c r="E160" s="1"/>
  <c r="D110"/>
  <c r="E110" s="1"/>
  <c r="D12"/>
  <c r="E12" s="1"/>
  <c r="D24"/>
  <c r="E24" s="1"/>
  <c r="D36"/>
  <c r="E36" s="1"/>
  <c r="D56"/>
  <c r="E56" s="1"/>
  <c r="D64"/>
  <c r="E64" s="1"/>
  <c r="D76"/>
  <c r="E76" s="1"/>
  <c r="D17"/>
  <c r="E17" s="1"/>
  <c r="D33"/>
  <c r="E33" s="1"/>
  <c r="D6"/>
  <c r="E6" s="1"/>
  <c r="D68"/>
  <c r="E68" s="1"/>
  <c r="D81"/>
  <c r="E81" s="1"/>
  <c r="D117"/>
  <c r="E117" s="1"/>
  <c r="D44"/>
  <c r="E44" s="1"/>
  <c r="D60"/>
  <c r="E60" s="1"/>
  <c r="D9"/>
  <c r="E9" s="1"/>
  <c r="D41"/>
  <c r="E41" s="1"/>
  <c r="D75"/>
  <c r="E75" s="1"/>
  <c r="D135"/>
  <c r="E135" s="1"/>
  <c r="D38"/>
  <c r="E38" s="1"/>
  <c r="D83"/>
  <c r="E83" s="1"/>
  <c r="D7"/>
  <c r="E7" s="1"/>
  <c r="D115"/>
  <c r="E115" s="1"/>
  <c r="D15"/>
  <c r="E15" s="1"/>
  <c r="D88"/>
  <c r="E88" s="1"/>
  <c r="D96"/>
  <c r="E96" s="1"/>
  <c r="D106"/>
  <c r="E106" s="1"/>
  <c r="D124"/>
  <c r="E124" s="1"/>
  <c r="D138"/>
  <c r="E138" s="1"/>
  <c r="D158"/>
  <c r="E158" s="1"/>
  <c r="D84"/>
  <c r="E84" s="1"/>
  <c r="D155"/>
  <c r="E155" s="1"/>
  <c r="D153"/>
  <c r="E153" s="1"/>
  <c r="D162"/>
  <c r="E162" s="1"/>
  <c r="D35"/>
  <c r="E35" s="1"/>
  <c r="D116"/>
  <c r="E116" s="1"/>
  <c r="D69"/>
  <c r="E69" s="1"/>
  <c r="D26"/>
  <c r="E26" s="1"/>
  <c r="D119"/>
  <c r="E119" s="1"/>
  <c r="D47"/>
  <c r="E47" s="1"/>
  <c r="D55"/>
  <c r="E55" s="1"/>
  <c r="D74"/>
  <c r="E74" s="1"/>
  <c r="D62"/>
  <c r="E62" s="1"/>
  <c r="D99"/>
  <c r="E99" s="1"/>
  <c r="D30"/>
  <c r="E30" s="1"/>
  <c r="D67"/>
  <c r="E67" s="1"/>
  <c r="D125"/>
  <c r="E125" s="1"/>
  <c r="D143"/>
  <c r="E143" s="1"/>
  <c r="D49"/>
  <c r="E49" s="1"/>
  <c r="D94"/>
  <c r="E94" s="1"/>
  <c r="D104"/>
  <c r="E104" s="1"/>
  <c r="D134"/>
  <c r="E134" s="1"/>
  <c r="D152"/>
  <c r="E152" s="1"/>
  <c r="D27"/>
  <c r="E27" s="1"/>
  <c r="D109"/>
  <c r="E109" s="1"/>
  <c r="D132"/>
  <c r="E132" s="1"/>
  <c r="D19"/>
  <c r="E19" s="1"/>
  <c r="D149"/>
  <c r="E149" s="1"/>
  <c r="D8"/>
  <c r="E8" s="1"/>
  <c r="D145"/>
  <c r="E145" s="1"/>
  <c r="D29"/>
  <c r="E29" s="1"/>
  <c r="D107"/>
  <c r="E107" s="1"/>
  <c r="D118"/>
  <c r="E118" s="1"/>
  <c r="D154"/>
  <c r="E154" s="1"/>
  <c r="D105"/>
  <c r="E105" s="1"/>
  <c r="D50"/>
  <c r="E50" s="1"/>
  <c r="D32"/>
  <c r="E32" s="1"/>
  <c r="D51"/>
  <c r="E51" s="1"/>
  <c r="D72"/>
  <c r="E72" s="1"/>
  <c r="D25"/>
  <c r="E25" s="1"/>
  <c r="D54"/>
  <c r="E54" s="1"/>
  <c r="D95"/>
  <c r="E95" s="1"/>
  <c r="D14"/>
  <c r="E14" s="1"/>
  <c r="D57"/>
  <c r="E57" s="1"/>
  <c r="D101"/>
  <c r="E101" s="1"/>
  <c r="D79"/>
  <c r="E79" s="1"/>
  <c r="D139"/>
  <c r="E139" s="1"/>
  <c r="D39"/>
  <c r="E39" s="1"/>
  <c r="D91"/>
  <c r="E91" s="1"/>
  <c r="D102"/>
  <c r="E102" s="1"/>
  <c r="D114"/>
  <c r="E114" s="1"/>
  <c r="D127"/>
  <c r="E127" s="1"/>
  <c r="D97"/>
  <c r="E97" s="1"/>
  <c r="D11"/>
  <c r="E11" s="1"/>
  <c r="D142"/>
  <c r="E142" s="1"/>
  <c r="D80"/>
  <c r="E80" s="1"/>
  <c r="D112"/>
  <c r="E112" s="1"/>
  <c r="D150"/>
  <c r="E150" s="1"/>
  <c r="D77"/>
  <c r="E77" s="1"/>
  <c r="D144"/>
  <c r="E144" s="1"/>
  <c r="D148"/>
  <c r="E148" s="1"/>
  <c r="D136"/>
  <c r="E136" s="1"/>
  <c r="D151"/>
  <c r="E151" s="1"/>
  <c r="D5"/>
  <c r="E5" s="1"/>
  <c r="D71"/>
  <c r="E71" s="1"/>
  <c r="D65"/>
  <c r="E65" s="1"/>
  <c r="D98"/>
  <c r="E98" s="1"/>
  <c r="D48"/>
  <c r="E48" s="1"/>
  <c r="D163"/>
  <c r="E163" s="1"/>
  <c r="D82"/>
  <c r="E82" s="1"/>
  <c r="D20"/>
  <c r="E20" s="1"/>
  <c r="D45"/>
  <c r="E45" s="1"/>
  <c r="D93"/>
  <c r="E93" s="1"/>
  <c r="D90"/>
  <c r="E90" s="1"/>
  <c r="D147"/>
  <c r="E147" s="1"/>
  <c r="D34"/>
  <c r="E34" s="1"/>
  <c r="D122"/>
  <c r="E122" s="1"/>
  <c r="D13"/>
  <c r="E13" s="1"/>
  <c r="D46"/>
  <c r="E46" s="1"/>
  <c r="D31"/>
  <c r="E31" s="1"/>
  <c r="D126"/>
  <c r="E126" s="1"/>
  <c r="D113"/>
  <c r="E113" s="1"/>
  <c r="D140"/>
  <c r="E140" s="1"/>
  <c r="D63"/>
  <c r="E63" s="1"/>
  <c r="D141"/>
  <c r="E141" s="1"/>
  <c r="D131"/>
  <c r="E131" s="1"/>
  <c r="D111"/>
  <c r="E111" s="1"/>
  <c r="D87"/>
  <c r="E87" s="1"/>
  <c r="D59"/>
  <c r="E59" s="1"/>
  <c r="D42"/>
  <c r="E42" s="1"/>
  <c r="X26"/>
  <c r="X26" i="13"/>
  <c r="X17" i="11"/>
  <c r="X17" i="13"/>
  <c r="W7" i="8"/>
  <c r="X12" i="13"/>
  <c r="X12" i="11"/>
  <c r="X23" i="13"/>
  <c r="X23" i="11"/>
  <c r="D108" i="8"/>
  <c r="G73"/>
  <c r="X9" i="11"/>
  <c r="X9" i="13"/>
  <c r="B48" i="11"/>
  <c r="C48" s="1"/>
  <c r="F26"/>
  <c r="B39"/>
  <c r="C39" s="1"/>
  <c r="F4"/>
  <c r="B18"/>
  <c r="C18" s="1"/>
  <c r="B29"/>
  <c r="C29" s="1"/>
  <c r="B45"/>
  <c r="C45" s="1"/>
  <c r="F53"/>
  <c r="B67"/>
  <c r="C67" s="1"/>
  <c r="B75"/>
  <c r="C75" s="1"/>
  <c r="B7"/>
  <c r="C7" s="1"/>
  <c r="F32"/>
  <c r="B11"/>
  <c r="C11" s="1"/>
  <c r="B24"/>
  <c r="C24" s="1"/>
  <c r="B35"/>
  <c r="C35" s="1"/>
  <c r="F49"/>
  <c r="B63"/>
  <c r="C63" s="1"/>
  <c r="F78"/>
  <c r="F17"/>
  <c r="B47"/>
  <c r="C47" s="1"/>
  <c r="F18"/>
  <c r="B42"/>
  <c r="C42" s="1"/>
  <c r="F13"/>
  <c r="B26"/>
  <c r="C26" s="1"/>
  <c r="F61"/>
  <c r="F73"/>
  <c r="B13"/>
  <c r="C13" s="1"/>
  <c r="B40"/>
  <c r="C40" s="1"/>
  <c r="F21"/>
  <c r="F37"/>
  <c r="F56"/>
  <c r="F74"/>
  <c r="B23"/>
  <c r="C23" s="1"/>
  <c r="F52"/>
  <c r="B80"/>
  <c r="C80" s="1"/>
  <c r="B91"/>
  <c r="C91" s="1"/>
  <c r="B110"/>
  <c r="C110" s="1"/>
  <c r="B127"/>
  <c r="C127" s="1"/>
  <c r="B146"/>
  <c r="C146" s="1"/>
  <c r="B19"/>
  <c r="C19" s="1"/>
  <c r="F47"/>
  <c r="F79"/>
  <c r="F105"/>
  <c r="F113"/>
  <c r="F143"/>
  <c r="F9"/>
  <c r="B41"/>
  <c r="C41" s="1"/>
  <c r="B70"/>
  <c r="C70" s="1"/>
  <c r="B85"/>
  <c r="C85" s="1"/>
  <c r="B9"/>
  <c r="C9" s="1"/>
  <c r="B51"/>
  <c r="C51" s="1"/>
  <c r="F58"/>
  <c r="B87"/>
  <c r="C87" s="1"/>
  <c r="F97"/>
  <c r="F109"/>
  <c r="B117"/>
  <c r="C117" s="1"/>
  <c r="B123"/>
  <c r="C123" s="1"/>
  <c r="F136"/>
  <c r="F144"/>
  <c r="F33"/>
  <c r="B92"/>
  <c r="C92" s="1"/>
  <c r="B125"/>
  <c r="C125" s="1"/>
  <c r="B149"/>
  <c r="C149" s="1"/>
  <c r="B33"/>
  <c r="C33" s="1"/>
  <c r="F88"/>
  <c r="B106"/>
  <c r="C106" s="1"/>
  <c r="F127"/>
  <c r="B160"/>
  <c r="C160" s="1"/>
  <c r="F25"/>
  <c r="F76"/>
  <c r="B111"/>
  <c r="C111" s="1"/>
  <c r="F148"/>
  <c r="B58"/>
  <c r="C58" s="1"/>
  <c r="F151"/>
  <c r="F38"/>
  <c r="B84"/>
  <c r="C84" s="1"/>
  <c r="F99"/>
  <c r="B107"/>
  <c r="C107" s="1"/>
  <c r="B138"/>
  <c r="C138" s="1"/>
  <c r="F153"/>
  <c r="F59"/>
  <c r="B134"/>
  <c r="C134" s="1"/>
  <c r="F68"/>
  <c r="F91"/>
  <c r="B124"/>
  <c r="C124" s="1"/>
  <c r="F139"/>
  <c r="F22"/>
  <c r="B153"/>
  <c r="C153" s="1"/>
  <c r="B159"/>
  <c r="C159" s="1"/>
  <c r="B81"/>
  <c r="C81" s="1"/>
  <c r="F100"/>
  <c r="F156"/>
  <c r="B155"/>
  <c r="C155" s="1"/>
  <c r="F36"/>
  <c r="B10"/>
  <c r="C10" s="1"/>
  <c r="F23"/>
  <c r="B59"/>
  <c r="C59" s="1"/>
  <c r="B71"/>
  <c r="C71" s="1"/>
  <c r="F34"/>
  <c r="F19"/>
  <c r="B53"/>
  <c r="C53" s="1"/>
  <c r="B72"/>
  <c r="C72" s="1"/>
  <c r="B50"/>
  <c r="C50" s="1"/>
  <c r="B78"/>
  <c r="C78" s="1"/>
  <c r="B121"/>
  <c r="C121" s="1"/>
  <c r="B14"/>
  <c r="C14" s="1"/>
  <c r="B46"/>
  <c r="C46" s="1"/>
  <c r="B97"/>
  <c r="C97" s="1"/>
  <c r="F131"/>
  <c r="F149"/>
  <c r="F55"/>
  <c r="F7"/>
  <c r="B36"/>
  <c r="C36" s="1"/>
  <c r="F85"/>
  <c r="B95"/>
  <c r="C95" s="1"/>
  <c r="F116"/>
  <c r="B135"/>
  <c r="C135" s="1"/>
  <c r="F142"/>
  <c r="B74"/>
  <c r="C74" s="1"/>
  <c r="B116"/>
  <c r="C116" s="1"/>
  <c r="F12"/>
  <c r="B102"/>
  <c r="C102" s="1"/>
  <c r="F126"/>
  <c r="B15"/>
  <c r="C15" s="1"/>
  <c r="B108"/>
  <c r="C108" s="1"/>
  <c r="F133"/>
  <c r="B120"/>
  <c r="C120" s="1"/>
  <c r="B27"/>
  <c r="C27" s="1"/>
  <c r="B76"/>
  <c r="C76" s="1"/>
  <c r="F103"/>
  <c r="B152"/>
  <c r="C152" s="1"/>
  <c r="B158"/>
  <c r="C158" s="1"/>
  <c r="F10"/>
  <c r="B37"/>
  <c r="C37" s="1"/>
  <c r="B4"/>
  <c r="C4" s="1"/>
  <c r="B32"/>
  <c r="C32" s="1"/>
  <c r="B12"/>
  <c r="C12" s="1"/>
  <c r="F86"/>
  <c r="B139"/>
  <c r="C139" s="1"/>
  <c r="F70"/>
  <c r="F111"/>
  <c r="F35"/>
  <c r="F81"/>
  <c r="B57"/>
  <c r="C57" s="1"/>
  <c r="B105"/>
  <c r="C105" s="1"/>
  <c r="F122"/>
  <c r="B22"/>
  <c r="C22" s="1"/>
  <c r="F146"/>
  <c r="B83"/>
  <c r="C83" s="1"/>
  <c r="B150"/>
  <c r="C150" s="1"/>
  <c r="F63"/>
  <c r="B5"/>
  <c r="C5" s="1"/>
  <c r="B148"/>
  <c r="C148" s="1"/>
  <c r="F94"/>
  <c r="B137"/>
  <c r="C137" s="1"/>
  <c r="B38"/>
  <c r="C38" s="1"/>
  <c r="B8"/>
  <c r="C8" s="1"/>
  <c r="B34"/>
  <c r="C34" s="1"/>
  <c r="F54"/>
  <c r="B21"/>
  <c r="C21" s="1"/>
  <c r="F31"/>
  <c r="F50"/>
  <c r="B77"/>
  <c r="C77" s="1"/>
  <c r="F24"/>
  <c r="B16"/>
  <c r="C16" s="1"/>
  <c r="F29"/>
  <c r="F46"/>
  <c r="B66"/>
  <c r="C66" s="1"/>
  <c r="B6"/>
  <c r="C6" s="1"/>
  <c r="B44"/>
  <c r="F69"/>
  <c r="F84"/>
  <c r="B103"/>
  <c r="C103" s="1"/>
  <c r="B115"/>
  <c r="C115" s="1"/>
  <c r="B133"/>
  <c r="C133" s="1"/>
  <c r="F8"/>
  <c r="F40"/>
  <c r="B64"/>
  <c r="C64" s="1"/>
  <c r="F87"/>
  <c r="B109"/>
  <c r="C109" s="1"/>
  <c r="F129"/>
  <c r="F147"/>
  <c r="B30"/>
  <c r="C30" s="1"/>
  <c r="B52"/>
  <c r="C52" s="1"/>
  <c r="F77"/>
  <c r="F20"/>
  <c r="B55"/>
  <c r="C55" s="1"/>
  <c r="F64"/>
  <c r="F93"/>
  <c r="B113"/>
  <c r="C113" s="1"/>
  <c r="F120"/>
  <c r="F132"/>
  <c r="B141"/>
  <c r="C141" s="1"/>
  <c r="F11"/>
  <c r="B69"/>
  <c r="C69" s="1"/>
  <c r="F110"/>
  <c r="B140"/>
  <c r="C140" s="1"/>
  <c r="B156"/>
  <c r="C156" s="1"/>
  <c r="B82"/>
  <c r="C82" s="1"/>
  <c r="B101"/>
  <c r="C101" s="1"/>
  <c r="F123"/>
  <c r="B136"/>
  <c r="C136" s="1"/>
  <c r="F5"/>
  <c r="F62"/>
  <c r="B98"/>
  <c r="C98" s="1"/>
  <c r="B122"/>
  <c r="C122" s="1"/>
  <c r="F163"/>
  <c r="B114"/>
  <c r="C114" s="1"/>
  <c r="B128"/>
  <c r="C128" s="1"/>
  <c r="F6"/>
  <c r="F67"/>
  <c r="B93"/>
  <c r="C93" s="1"/>
  <c r="F102"/>
  <c r="F134"/>
  <c r="B144"/>
  <c r="C144" s="1"/>
  <c r="F157"/>
  <c r="B17"/>
  <c r="C17" s="1"/>
  <c r="B89"/>
  <c r="C89" s="1"/>
  <c r="B86"/>
  <c r="C86" s="1"/>
  <c r="F104"/>
  <c r="F137"/>
  <c r="F155"/>
  <c r="B104"/>
  <c r="C104" s="1"/>
  <c r="B31"/>
  <c r="C31" s="1"/>
  <c r="F57"/>
  <c r="F160"/>
  <c r="F152"/>
  <c r="F162"/>
  <c r="F48"/>
  <c r="B130"/>
  <c r="C130" s="1"/>
  <c r="B73"/>
  <c r="C73" s="1"/>
  <c r="F45"/>
  <c r="B65"/>
  <c r="C65" s="1"/>
  <c r="F27"/>
  <c r="F39"/>
  <c r="F114"/>
  <c r="B60"/>
  <c r="C60" s="1"/>
  <c r="B145"/>
  <c r="C145" s="1"/>
  <c r="B129"/>
  <c r="C129" s="1"/>
  <c r="F89"/>
  <c r="F128"/>
  <c r="F106"/>
  <c r="F98"/>
  <c r="B56"/>
  <c r="C56" s="1"/>
  <c r="B94"/>
  <c r="C94" s="1"/>
  <c r="B90"/>
  <c r="C90" s="1"/>
  <c r="B154"/>
  <c r="C154" s="1"/>
  <c r="B147"/>
  <c r="C147" s="1"/>
  <c r="F95"/>
  <c r="B143"/>
  <c r="C143" s="1"/>
  <c r="F72"/>
  <c r="F125"/>
  <c r="F158"/>
  <c r="F92"/>
  <c r="F28"/>
  <c r="B49"/>
  <c r="C49" s="1"/>
  <c r="F42"/>
  <c r="F80"/>
  <c r="F96"/>
  <c r="F30"/>
  <c r="F119"/>
  <c r="F75"/>
  <c r="F60"/>
  <c r="B119"/>
  <c r="C119" s="1"/>
  <c r="F65"/>
  <c r="F44"/>
  <c r="B163"/>
  <c r="F161"/>
  <c r="F66"/>
  <c r="B142"/>
  <c r="C142" s="1"/>
  <c r="F108"/>
  <c r="F90"/>
  <c r="F138"/>
  <c r="F121"/>
  <c r="B68"/>
  <c r="C68" s="1"/>
  <c r="F154"/>
  <c r="B96"/>
  <c r="C96" s="1"/>
  <c r="F16"/>
  <c r="B61"/>
  <c r="C61" s="1"/>
  <c r="F83"/>
  <c r="F107"/>
  <c r="F51"/>
  <c r="B54"/>
  <c r="C54" s="1"/>
  <c r="F112"/>
  <c r="F145"/>
  <c r="F150"/>
  <c r="B131"/>
  <c r="C131" s="1"/>
  <c r="F118"/>
  <c r="B157"/>
  <c r="C157" s="1"/>
  <c r="B118"/>
  <c r="C118" s="1"/>
  <c r="B79"/>
  <c r="C79" s="1"/>
  <c r="F71"/>
  <c r="F135"/>
  <c r="B126"/>
  <c r="C126" s="1"/>
  <c r="B161"/>
  <c r="C161" s="1"/>
  <c r="B151"/>
  <c r="C151" s="1"/>
  <c r="B100"/>
  <c r="C100" s="1"/>
  <c r="B20"/>
  <c r="C20" s="1"/>
  <c r="F15"/>
  <c r="F43"/>
  <c r="B62"/>
  <c r="C62" s="1"/>
  <c r="F130"/>
  <c r="F82"/>
  <c r="B25"/>
  <c r="C25" s="1"/>
  <c r="F14"/>
  <c r="B99"/>
  <c r="C99" s="1"/>
  <c r="F140"/>
  <c r="B132"/>
  <c r="C132" s="1"/>
  <c r="B112"/>
  <c r="C112" s="1"/>
  <c r="B88"/>
  <c r="C88" s="1"/>
  <c r="F124"/>
  <c r="F101"/>
  <c r="F159"/>
  <c r="B28"/>
  <c r="C28" s="1"/>
  <c r="F115"/>
  <c r="B162"/>
  <c r="C162" s="1"/>
  <c r="F117"/>
  <c r="F41"/>
  <c r="B43"/>
  <c r="C43" s="1"/>
  <c r="F141"/>
  <c r="W10" i="8"/>
  <c r="H4" i="13"/>
  <c r="V27" i="8"/>
  <c r="D103" s="1"/>
  <c r="C163" i="11" l="1"/>
  <c r="I8"/>
  <c r="I7"/>
  <c r="E4"/>
  <c r="J8"/>
  <c r="X11" i="13"/>
  <c r="X11" i="11"/>
  <c r="X22" i="13"/>
  <c r="X22" i="11"/>
  <c r="X10" i="13"/>
  <c r="X10" i="11"/>
  <c r="X14"/>
  <c r="X14" i="13"/>
  <c r="C44" i="11"/>
  <c r="H44"/>
  <c r="J7" l="1"/>
  <c r="K5"/>
</calcChain>
</file>

<file path=xl/comments1.xml><?xml version="1.0" encoding="utf-8"?>
<comments xmlns="http://schemas.openxmlformats.org/spreadsheetml/2006/main">
  <authors>
    <author>Neville Young</author>
  </authors>
  <commentList>
    <comment ref="M66" authorId="0">
      <text>
        <r>
          <rPr>
            <sz val="10"/>
            <color indexed="81"/>
            <rFont val="Arial"/>
            <family val="2"/>
          </rPr>
          <t>For FPR&lt;1% please use a leading zero, e.g. 0.1</t>
        </r>
      </text>
    </comment>
  </commentList>
</comments>
</file>

<file path=xl/comments2.xml><?xml version="1.0" encoding="utf-8"?>
<comments xmlns="http://schemas.openxmlformats.org/spreadsheetml/2006/main">
  <authors>
    <author>Neville Young</author>
  </authors>
  <commentList>
    <comment ref="M66" authorId="0">
      <text>
        <r>
          <rPr>
            <sz val="10"/>
            <color indexed="81"/>
            <rFont val="Arial"/>
            <family val="2"/>
          </rPr>
          <t>DRs must be &gt;14% as table of FPRs is in 5% increments.</t>
        </r>
      </text>
    </comment>
  </commentList>
</comments>
</file>

<file path=xl/sharedStrings.xml><?xml version="1.0" encoding="utf-8"?>
<sst xmlns="http://schemas.openxmlformats.org/spreadsheetml/2006/main" count="209" uniqueCount="75">
  <si>
    <t>Comparison</t>
  </si>
  <si>
    <t>Prop affected</t>
  </si>
  <si>
    <t>fpr</t>
  </si>
  <si>
    <t>est</t>
  </si>
  <si>
    <t>Lower</t>
  </si>
  <si>
    <t>Upper</t>
  </si>
  <si>
    <t>lower</t>
  </si>
  <si>
    <t>upper</t>
  </si>
  <si>
    <t>OR</t>
  </si>
  <si>
    <t>mean</t>
  </si>
  <si>
    <t>centile</t>
  </si>
  <si>
    <t>Detection Rate</t>
  </si>
  <si>
    <t>with upper</t>
  </si>
  <si>
    <t>False Positive Rate</t>
  </si>
  <si>
    <t>per 1 sd</t>
  </si>
  <si>
    <t>Enter False Positive Rate</t>
  </si>
  <si>
    <t>calculated</t>
  </si>
  <si>
    <t>FOR PLOTTING</t>
  </si>
  <si>
    <t>DR</t>
  </si>
  <si>
    <t>identifying mean</t>
  </si>
  <si>
    <t>FPR</t>
  </si>
  <si>
    <t xml:space="preserve">Detection Rate       </t>
  </si>
  <si>
    <t>Fixed False Positive Rate</t>
  </si>
  <si>
    <t>Fixed Detection Rate</t>
  </si>
  <si>
    <t>Enter Detection Rate</t>
  </si>
  <si>
    <t>This block gets it down to nearest 5%</t>
  </si>
  <si>
    <t>above block goes to nearest 0.1%</t>
  </si>
  <si>
    <t>Useless test</t>
  </si>
  <si>
    <t xml:space="preserve">To obtain the detection rate for a specified false positive rate enter the false positive rate </t>
  </si>
  <si>
    <t>To obtain the false positive rate for a specified detection rate enter the detecttion rate</t>
  </si>
  <si>
    <t>Enter proportion of population in lowest group</t>
  </si>
  <si>
    <t>Enter proportion of population in highest group</t>
  </si>
  <si>
    <t>To obtain the detection rate (DR) for a specified false positive rate (FPR) enter "FPR" in the box below</t>
  </si>
  <si>
    <t>To obtain the false positive rate (FPR) for a specified detection rate (DR) enter "DR" in the box below</t>
  </si>
  <si>
    <t xml:space="preserve">Equivalence between relative odds of a risk factor and it's screening performance : </t>
  </si>
  <si>
    <t>sd</t>
  </si>
  <si>
    <t>Affected</t>
  </si>
  <si>
    <t>Unaffected</t>
  </si>
  <si>
    <t>%</t>
  </si>
  <si>
    <t>Risk - Screening Converter</t>
  </si>
  <si>
    <t>Left click on the box below to select the required comparison :</t>
  </si>
  <si>
    <t>Enter odds ratio comparing highest group with lowest group</t>
  </si>
  <si>
    <t>Graph of detection rate according to false positive rate for a specified odds ratio</t>
  </si>
  <si>
    <t>Table and graph of odds ratio according to detection rate for a specified false positive rate</t>
  </si>
  <si>
    <t>Odds Ratio per 1 sd increase in value of risk factor</t>
  </si>
  <si>
    <t>Table and graph of odds ratio according to  false positive rate for a specified detection rate</t>
  </si>
  <si>
    <t>Equivalence between Odds Ratio of a risk factor and its screening performance</t>
  </si>
  <si>
    <t>Odds Ratio (or Relative Risk)</t>
  </si>
  <si>
    <t>Graphs Detection Rate according to False Positive Rate for a specified Odds Ratio</t>
  </si>
  <si>
    <t>Tabulates and graphs Odds Ratio according to Detection Rate for a specified False Positive Rate</t>
  </si>
  <si>
    <t>Tabulates and graphs Odds Ratio according to False Positive Rate for a specified Detection Rate</t>
  </si>
  <si>
    <t>prevalence =</t>
  </si>
  <si>
    <t xml:space="preserve">OAPR = </t>
  </si>
  <si>
    <t>if DR</t>
  </si>
  <si>
    <t>if FPR</t>
  </si>
  <si>
    <t>To obtain the OAPR specify the prevalence (per 1,000 people)</t>
  </si>
  <si>
    <t>or incidence (per 1,000 people over a specified time)</t>
  </si>
  <si>
    <t>LR</t>
  </si>
  <si>
    <t>Likelihood Ratio</t>
  </si>
  <si>
    <t>LR for FPR</t>
  </si>
  <si>
    <t>LR for DR</t>
  </si>
  <si>
    <t xml:space="preserve"> </t>
  </si>
  <si>
    <t>overlap occurs at</t>
  </si>
  <si>
    <t>lines on graphs</t>
  </si>
  <si>
    <t>curves</t>
  </si>
  <si>
    <t>lr</t>
  </si>
  <si>
    <t>Likelihood ratio  for an individual test result in sd units (or centiles)  for a specified odds ratio</t>
  </si>
  <si>
    <t>Centile of Unaffected</t>
  </si>
  <si>
    <t>Likelihood ratio</t>
  </si>
  <si>
    <t>sd units from unaffected mean</t>
  </si>
  <si>
    <t>Bottom axis</t>
  </si>
  <si>
    <t xml:space="preserve">Four interactive pages tabulate and graph the relationship between </t>
  </si>
  <si>
    <t>Left click here to return to home page</t>
  </si>
  <si>
    <t>This Risk-Screening converter is available from https://www.medicalscreeningsociety.com/rsc.asp</t>
  </si>
  <si>
    <t>This Risk-Screening converter is available from www.medicalscreeningsociety.com/rsc.asp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</si>
</sst>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0.000"/>
    <numFmt numFmtId="167" formatCode="0.0000"/>
    <numFmt numFmtId="168" formatCode="#,##0.0"/>
  </numFmts>
  <fonts count="18">
    <font>
      <sz val="10"/>
      <name val="Arial"/>
    </font>
    <font>
      <sz val="10"/>
      <name val="Arial"/>
    </font>
    <font>
      <b/>
      <sz val="11"/>
      <name val="Arial"/>
      <family val="2"/>
    </font>
    <font>
      <u/>
      <sz val="10"/>
      <color indexed="12"/>
      <name val="Arial"/>
    </font>
    <font>
      <sz val="8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name val="Arial"/>
    </font>
    <font>
      <b/>
      <sz val="12"/>
      <name val="Arial"/>
      <family val="2"/>
    </font>
    <font>
      <sz val="11"/>
      <name val="Arial"/>
    </font>
    <font>
      <sz val="18"/>
      <name val="Arial"/>
      <family val="2"/>
    </font>
    <font>
      <sz val="11"/>
      <name val="Arial"/>
      <family val="2"/>
    </font>
    <font>
      <u/>
      <sz val="10"/>
      <name val="Arial"/>
    </font>
    <font>
      <u/>
      <sz val="12"/>
      <name val="Arial"/>
    </font>
    <font>
      <sz val="9"/>
      <name val="Arial"/>
    </font>
    <font>
      <sz val="10"/>
      <color indexed="8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2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9" fontId="0" fillId="0" borderId="0" xfId="0" applyNumberFormat="1" applyBorder="1"/>
    <xf numFmtId="9" fontId="0" fillId="0" borderId="0" xfId="0" applyNumberFormat="1" applyBorder="1" applyAlignment="1">
      <alignment horizontal="center"/>
    </xf>
    <xf numFmtId="0" fontId="6" fillId="0" borderId="0" xfId="0" applyFont="1" applyBorder="1"/>
    <xf numFmtId="2" fontId="0" fillId="0" borderId="0" xfId="0" applyNumberFormat="1" applyBorder="1"/>
    <xf numFmtId="9" fontId="5" fillId="0" borderId="0" xfId="0" applyNumberFormat="1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165" fontId="0" fillId="0" borderId="0" xfId="2" applyNumberFormat="1" applyFont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horizontal="center" vertical="top" wrapText="1"/>
    </xf>
    <xf numFmtId="10" fontId="0" fillId="0" borderId="0" xfId="2" applyNumberFormat="1" applyFont="1" applyBorder="1" applyAlignment="1">
      <alignment horizontal="center"/>
    </xf>
    <xf numFmtId="166" fontId="0" fillId="0" borderId="0" xfId="0" applyNumberFormat="1" applyBorder="1"/>
    <xf numFmtId="167" fontId="0" fillId="0" borderId="0" xfId="0" applyNumberFormat="1" applyBorder="1" applyAlignment="1">
      <alignment horizontal="center"/>
    </xf>
    <xf numFmtId="2" fontId="0" fillId="0" borderId="0" xfId="0" applyNumberFormat="1" applyFill="1" applyBorder="1"/>
    <xf numFmtId="0" fontId="0" fillId="0" borderId="0" xfId="0" applyAlignment="1">
      <alignment horizontal="center"/>
    </xf>
    <xf numFmtId="167" fontId="0" fillId="0" borderId="0" xfId="0" applyNumberFormat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9" fontId="5" fillId="0" borderId="0" xfId="0" applyNumberFormat="1" applyFont="1" applyFill="1" applyBorder="1" applyAlignment="1">
      <alignment horizontal="left"/>
    </xf>
    <xf numFmtId="0" fontId="9" fillId="0" borderId="0" xfId="0" applyFont="1" applyBorder="1" applyAlignment="1"/>
    <xf numFmtId="0" fontId="9" fillId="0" borderId="0" xfId="0" applyFont="1" applyAlignment="1"/>
    <xf numFmtId="0" fontId="0" fillId="0" borderId="0" xfId="0" applyAlignment="1">
      <alignment horizontal="left"/>
    </xf>
    <xf numFmtId="164" fontId="0" fillId="0" borderId="0" xfId="0" applyNumberFormat="1" applyBorder="1"/>
    <xf numFmtId="0" fontId="0" fillId="0" borderId="0" xfId="0" applyNumberFormat="1"/>
    <xf numFmtId="0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9" fontId="0" fillId="0" borderId="0" xfId="0" applyNumberFormat="1"/>
    <xf numFmtId="2" fontId="0" fillId="0" borderId="0" xfId="0" applyNumberFormat="1"/>
    <xf numFmtId="9" fontId="0" fillId="0" borderId="0" xfId="2" applyFont="1"/>
    <xf numFmtId="168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2" borderId="3" xfId="1" applyFont="1" applyFill="1" applyBorder="1" applyAlignment="1" applyProtection="1">
      <alignment horizontal="center" vertical="center" wrapText="1"/>
    </xf>
    <xf numFmtId="0" fontId="12" fillId="0" borderId="0" xfId="1" applyFont="1" applyAlignment="1" applyProtection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3" fillId="0" borderId="0" xfId="1" applyFont="1" applyAlignment="1" applyProtection="1"/>
    <xf numFmtId="0" fontId="1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/>
    <xf numFmtId="0" fontId="14" fillId="0" borderId="0" xfId="0" applyFont="1" applyBorder="1"/>
    <xf numFmtId="0" fontId="1" fillId="0" borderId="0" xfId="0" applyFont="1" applyBorder="1" applyAlignment="1">
      <alignment horizontal="center"/>
    </xf>
    <xf numFmtId="9" fontId="5" fillId="3" borderId="3" xfId="0" applyNumberFormat="1" applyFont="1" applyFill="1" applyBorder="1" applyAlignment="1" applyProtection="1">
      <alignment horizontal="center"/>
      <protection locked="0"/>
    </xf>
    <xf numFmtId="0" fontId="5" fillId="3" borderId="3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165" fontId="5" fillId="3" borderId="3" xfId="0" applyNumberFormat="1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 wrapText="1"/>
      <protection locked="0"/>
    </xf>
    <xf numFmtId="166" fontId="0" fillId="0" borderId="0" xfId="0" applyNumberFormat="1"/>
    <xf numFmtId="0" fontId="2" fillId="0" borderId="0" xfId="0" applyFont="1" applyBorder="1" applyAlignment="1"/>
    <xf numFmtId="0" fontId="11" fillId="0" borderId="0" xfId="0" applyFont="1" applyAlignment="1"/>
    <xf numFmtId="9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2" fontId="0" fillId="0" borderId="0" xfId="0" applyNumberFormat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2" xfId="0" applyNumberFormat="1" applyBorder="1" applyAlignment="1">
      <alignment horizontal="center"/>
    </xf>
    <xf numFmtId="0" fontId="3" fillId="0" borderId="0" xfId="1" applyBorder="1" applyAlignment="1" applyProtection="1"/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6" fillId="4" borderId="7" xfId="0" applyFont="1" applyFill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4" xfId="1" applyFont="1" applyFill="1" applyBorder="1" applyAlignment="1" applyProtection="1">
      <alignment horizontal="center" wrapText="1"/>
    </xf>
    <xf numFmtId="0" fontId="1" fillId="2" borderId="15" xfId="1" applyFont="1" applyFill="1" applyBorder="1" applyAlignment="1" applyProtection="1">
      <alignment horizontal="center" wrapText="1"/>
    </xf>
    <xf numFmtId="0" fontId="1" fillId="2" borderId="16" xfId="1" applyFont="1" applyFill="1" applyBorder="1" applyAlignment="1" applyProtection="1">
      <alignment horizontal="center" wrapText="1"/>
    </xf>
    <xf numFmtId="0" fontId="1" fillId="2" borderId="17" xfId="1" applyFont="1" applyFill="1" applyBorder="1" applyAlignment="1" applyProtection="1">
      <alignment horizontal="center" wrapText="1"/>
    </xf>
    <xf numFmtId="0" fontId="1" fillId="2" borderId="18" xfId="1" applyFont="1" applyFill="1" applyBorder="1" applyAlignment="1" applyProtection="1">
      <alignment horizontal="center" wrapText="1"/>
    </xf>
    <xf numFmtId="0" fontId="1" fillId="2" borderId="19" xfId="1" applyFont="1" applyFill="1" applyBorder="1" applyAlignment="1" applyProtection="1">
      <alignment horizontal="center" wrapText="1"/>
    </xf>
    <xf numFmtId="0" fontId="17" fillId="4" borderId="14" xfId="0" applyFont="1" applyFill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7" fillId="4" borderId="0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3.6243851230960432E-2"/>
          <c:y val="0.41322314049586778"/>
          <c:w val="0.91762841525658967"/>
          <c:h val="0.27272727272727282"/>
        </c:manualLayout>
      </c:layout>
      <c:scatterChart>
        <c:scatterStyle val="smoothMarker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xVal>
            <c:numRef>
              <c:f>normpltsLR!$J$24:$J$25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normpltsLR!$K$24:$K$25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yVal>
          <c:smooth val="1"/>
        </c:ser>
        <c:axId val="118629120"/>
        <c:axId val="118631424"/>
      </c:scatterChart>
      <c:valAx>
        <c:axId val="118629120"/>
        <c:scaling>
          <c:orientation val="minMax"/>
          <c:max val="6"/>
          <c:min val="-4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sd units from unaffected mean</a:t>
                </a:r>
              </a:p>
            </c:rich>
          </c:tx>
          <c:layout>
            <c:manualLayout>
              <c:xMode val="edge"/>
              <c:yMode val="edge"/>
              <c:x val="0.24217482904323057"/>
              <c:y val="0.793388429752065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631424"/>
        <c:crossesAt val="1"/>
        <c:crossBetween val="midCat"/>
      </c:valAx>
      <c:valAx>
        <c:axId val="118631424"/>
        <c:scaling>
          <c:logBase val="10"/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1862912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2.8517136738371047E-2"/>
          <c:y val="4.4378698224852083E-2"/>
          <c:w val="0.94486779726469439"/>
          <c:h val="0.91420118343195256"/>
        </c:manualLayout>
      </c:layout>
      <c:scatterChart>
        <c:scatterStyle val="lineMarker"/>
        <c:ser>
          <c:idx val="0"/>
          <c:order val="0"/>
          <c:tx>
            <c:v>Unaffected graph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normplts!$D$4:$D$163</c:f>
              <c:numCache>
                <c:formatCode>General</c:formatCode>
                <c:ptCount val="160"/>
                <c:pt idx="0">
                  <c:v>-4</c:v>
                </c:pt>
                <c:pt idx="1">
                  <c:v>-3.9</c:v>
                </c:pt>
                <c:pt idx="2">
                  <c:v>-3.85</c:v>
                </c:pt>
                <c:pt idx="3">
                  <c:v>-3.8000000000000003</c:v>
                </c:pt>
                <c:pt idx="4">
                  <c:v>-3.7500000000000004</c:v>
                </c:pt>
                <c:pt idx="5">
                  <c:v>-3.7000000000000006</c:v>
                </c:pt>
                <c:pt idx="6">
                  <c:v>-3.6500000000000008</c:v>
                </c:pt>
                <c:pt idx="7">
                  <c:v>-3.600000000000001</c:v>
                </c:pt>
                <c:pt idx="8">
                  <c:v>-3.5500000000000012</c:v>
                </c:pt>
                <c:pt idx="9">
                  <c:v>-3.5000000000000013</c:v>
                </c:pt>
                <c:pt idx="10">
                  <c:v>-3.4500000000000015</c:v>
                </c:pt>
                <c:pt idx="11">
                  <c:v>-3.4000000000000017</c:v>
                </c:pt>
                <c:pt idx="12">
                  <c:v>-3.3500000000000019</c:v>
                </c:pt>
                <c:pt idx="13">
                  <c:v>-3.300000000000002</c:v>
                </c:pt>
                <c:pt idx="14">
                  <c:v>-3.2500000000000022</c:v>
                </c:pt>
                <c:pt idx="15">
                  <c:v>-3.2000000000000024</c:v>
                </c:pt>
                <c:pt idx="16">
                  <c:v>-3.1500000000000026</c:v>
                </c:pt>
                <c:pt idx="17">
                  <c:v>-3.1000000000000028</c:v>
                </c:pt>
                <c:pt idx="18">
                  <c:v>-3.0500000000000029</c:v>
                </c:pt>
                <c:pt idx="19">
                  <c:v>-3.0000000000000031</c:v>
                </c:pt>
                <c:pt idx="20">
                  <c:v>-2.9500000000000033</c:v>
                </c:pt>
                <c:pt idx="21">
                  <c:v>-2.9000000000000035</c:v>
                </c:pt>
                <c:pt idx="22">
                  <c:v>-2.8500000000000036</c:v>
                </c:pt>
                <c:pt idx="23">
                  <c:v>-2.8000000000000038</c:v>
                </c:pt>
                <c:pt idx="24">
                  <c:v>-2.750000000000004</c:v>
                </c:pt>
                <c:pt idx="25">
                  <c:v>-2.7000000000000042</c:v>
                </c:pt>
                <c:pt idx="26">
                  <c:v>-2.6500000000000044</c:v>
                </c:pt>
                <c:pt idx="27">
                  <c:v>-2.6000000000000045</c:v>
                </c:pt>
                <c:pt idx="28">
                  <c:v>-2.5500000000000047</c:v>
                </c:pt>
                <c:pt idx="29">
                  <c:v>-2.5000000000000049</c:v>
                </c:pt>
                <c:pt idx="30">
                  <c:v>-2.4500000000000051</c:v>
                </c:pt>
                <c:pt idx="31">
                  <c:v>-2.4000000000000052</c:v>
                </c:pt>
                <c:pt idx="32">
                  <c:v>-2.3500000000000054</c:v>
                </c:pt>
                <c:pt idx="33">
                  <c:v>-2.3000000000000056</c:v>
                </c:pt>
                <c:pt idx="34">
                  <c:v>-2.2500000000000058</c:v>
                </c:pt>
                <c:pt idx="35">
                  <c:v>-2.200000000000006</c:v>
                </c:pt>
                <c:pt idx="36">
                  <c:v>-2.1500000000000061</c:v>
                </c:pt>
                <c:pt idx="37">
                  <c:v>-2.1000000000000063</c:v>
                </c:pt>
                <c:pt idx="38">
                  <c:v>-2.0500000000000065</c:v>
                </c:pt>
                <c:pt idx="39">
                  <c:v>-2.0000000000000067</c:v>
                </c:pt>
                <c:pt idx="40">
                  <c:v>-1.9500000000000066</c:v>
                </c:pt>
                <c:pt idx="41">
                  <c:v>-1.9000000000000066</c:v>
                </c:pt>
                <c:pt idx="42">
                  <c:v>-1.8500000000000065</c:v>
                </c:pt>
                <c:pt idx="43">
                  <c:v>-1.8000000000000065</c:v>
                </c:pt>
                <c:pt idx="44">
                  <c:v>-1.7500000000000064</c:v>
                </c:pt>
                <c:pt idx="45">
                  <c:v>-1.7000000000000064</c:v>
                </c:pt>
                <c:pt idx="46">
                  <c:v>-1.6500000000000064</c:v>
                </c:pt>
                <c:pt idx="47">
                  <c:v>-1.6000000000000063</c:v>
                </c:pt>
                <c:pt idx="48">
                  <c:v>-1.5500000000000063</c:v>
                </c:pt>
                <c:pt idx="49">
                  <c:v>-1.5000000000000062</c:v>
                </c:pt>
                <c:pt idx="50">
                  <c:v>-1.4500000000000062</c:v>
                </c:pt>
                <c:pt idx="51">
                  <c:v>-1.4000000000000061</c:v>
                </c:pt>
                <c:pt idx="52">
                  <c:v>-1.3500000000000061</c:v>
                </c:pt>
                <c:pt idx="53">
                  <c:v>-1.300000000000006</c:v>
                </c:pt>
                <c:pt idx="54">
                  <c:v>-1.250000000000006</c:v>
                </c:pt>
                <c:pt idx="55">
                  <c:v>-1.200000000000006</c:v>
                </c:pt>
                <c:pt idx="56">
                  <c:v>-1.1500000000000059</c:v>
                </c:pt>
                <c:pt idx="57">
                  <c:v>-1.1000000000000059</c:v>
                </c:pt>
                <c:pt idx="58">
                  <c:v>-1.0500000000000058</c:v>
                </c:pt>
                <c:pt idx="59">
                  <c:v>-1.0000000000000058</c:v>
                </c:pt>
                <c:pt idx="60">
                  <c:v>-0.95000000000000573</c:v>
                </c:pt>
                <c:pt idx="61">
                  <c:v>-0.90000000000000568</c:v>
                </c:pt>
                <c:pt idx="62">
                  <c:v>-0.85000000000000564</c:v>
                </c:pt>
                <c:pt idx="63">
                  <c:v>-0.8000000000000056</c:v>
                </c:pt>
                <c:pt idx="64">
                  <c:v>-0.75000000000000555</c:v>
                </c:pt>
                <c:pt idx="65">
                  <c:v>-0.70000000000000551</c:v>
                </c:pt>
                <c:pt idx="66">
                  <c:v>-0.65000000000000546</c:v>
                </c:pt>
                <c:pt idx="67">
                  <c:v>-0.60000000000000542</c:v>
                </c:pt>
                <c:pt idx="68">
                  <c:v>-0.55000000000000537</c:v>
                </c:pt>
                <c:pt idx="69">
                  <c:v>-0.50000000000000533</c:v>
                </c:pt>
                <c:pt idx="70">
                  <c:v>-0.45000000000000534</c:v>
                </c:pt>
                <c:pt idx="71">
                  <c:v>-0.40000000000000535</c:v>
                </c:pt>
                <c:pt idx="72">
                  <c:v>-0.35000000000000536</c:v>
                </c:pt>
                <c:pt idx="73">
                  <c:v>-0.30000000000000537</c:v>
                </c:pt>
                <c:pt idx="74">
                  <c:v>-0.25000000000000538</c:v>
                </c:pt>
                <c:pt idx="75">
                  <c:v>-0.2000000000000054</c:v>
                </c:pt>
                <c:pt idx="76">
                  <c:v>-0.15000000000000541</c:v>
                </c:pt>
                <c:pt idx="77">
                  <c:v>-0.1000000000000054</c:v>
                </c:pt>
                <c:pt idx="78">
                  <c:v>-5.0000000000005401E-2</c:v>
                </c:pt>
                <c:pt idx="79">
                  <c:v>-5.3984594572398237E-15</c:v>
                </c:pt>
                <c:pt idx="80">
                  <c:v>4.9999999999994604E-2</c:v>
                </c:pt>
                <c:pt idx="81">
                  <c:v>9.9999999999994607E-2</c:v>
                </c:pt>
                <c:pt idx="82">
                  <c:v>0.14999999999999461</c:v>
                </c:pt>
                <c:pt idx="83">
                  <c:v>0.19999999999999463</c:v>
                </c:pt>
                <c:pt idx="84">
                  <c:v>0.24999999999999462</c:v>
                </c:pt>
                <c:pt idx="85">
                  <c:v>0.2999999999999946</c:v>
                </c:pt>
                <c:pt idx="86">
                  <c:v>0.34999999999999459</c:v>
                </c:pt>
                <c:pt idx="87">
                  <c:v>0.39999999999999458</c:v>
                </c:pt>
                <c:pt idx="88">
                  <c:v>0.44999999999999457</c:v>
                </c:pt>
                <c:pt idx="89">
                  <c:v>0.49999999999999456</c:v>
                </c:pt>
                <c:pt idx="90">
                  <c:v>0.5499999999999946</c:v>
                </c:pt>
                <c:pt idx="91">
                  <c:v>0.59999999999999465</c:v>
                </c:pt>
                <c:pt idx="92">
                  <c:v>0.64999999999999469</c:v>
                </c:pt>
                <c:pt idx="93">
                  <c:v>0.69999999999999474</c:v>
                </c:pt>
                <c:pt idx="94">
                  <c:v>0.74999999999999478</c:v>
                </c:pt>
                <c:pt idx="95">
                  <c:v>0.79999999999999483</c:v>
                </c:pt>
                <c:pt idx="96">
                  <c:v>0.84999999999999487</c:v>
                </c:pt>
                <c:pt idx="97">
                  <c:v>0.89999999999999492</c:v>
                </c:pt>
                <c:pt idx="98">
                  <c:v>0.94999999999999496</c:v>
                </c:pt>
                <c:pt idx="99">
                  <c:v>0.999999999999995</c:v>
                </c:pt>
                <c:pt idx="100">
                  <c:v>1.0499999999999949</c:v>
                </c:pt>
                <c:pt idx="101">
                  <c:v>1.099999999999995</c:v>
                </c:pt>
                <c:pt idx="102">
                  <c:v>1.149999999999995</c:v>
                </c:pt>
                <c:pt idx="103">
                  <c:v>1.1999999999999951</c:v>
                </c:pt>
                <c:pt idx="104">
                  <c:v>1.2499999999999951</c:v>
                </c:pt>
                <c:pt idx="105">
                  <c:v>1.2999999999999952</c:v>
                </c:pt>
                <c:pt idx="106">
                  <c:v>1.3499999999999952</c:v>
                </c:pt>
                <c:pt idx="107">
                  <c:v>1.3999999999999952</c:v>
                </c:pt>
                <c:pt idx="108">
                  <c:v>1.4499999999999953</c:v>
                </c:pt>
                <c:pt idx="109">
                  <c:v>1.4999999999999953</c:v>
                </c:pt>
                <c:pt idx="110">
                  <c:v>1.5499999999999954</c:v>
                </c:pt>
                <c:pt idx="111">
                  <c:v>1.5999999999999954</c:v>
                </c:pt>
                <c:pt idx="112">
                  <c:v>1.6499999999999955</c:v>
                </c:pt>
                <c:pt idx="113">
                  <c:v>1.6999999999999955</c:v>
                </c:pt>
                <c:pt idx="114">
                  <c:v>1.7499999999999956</c:v>
                </c:pt>
                <c:pt idx="115">
                  <c:v>1.7999999999999956</c:v>
                </c:pt>
                <c:pt idx="116">
                  <c:v>1.8499999999999956</c:v>
                </c:pt>
                <c:pt idx="117">
                  <c:v>1.8999999999999957</c:v>
                </c:pt>
                <c:pt idx="118">
                  <c:v>1.9499999999999957</c:v>
                </c:pt>
                <c:pt idx="119">
                  <c:v>1.9999999999999958</c:v>
                </c:pt>
                <c:pt idx="120">
                  <c:v>2.0499999999999958</c:v>
                </c:pt>
                <c:pt idx="121">
                  <c:v>2.0999999999999956</c:v>
                </c:pt>
                <c:pt idx="122">
                  <c:v>2.1499999999999955</c:v>
                </c:pt>
                <c:pt idx="123">
                  <c:v>2.1999999999999953</c:v>
                </c:pt>
                <c:pt idx="124">
                  <c:v>2.2499999999999951</c:v>
                </c:pt>
                <c:pt idx="125">
                  <c:v>2.2999999999999949</c:v>
                </c:pt>
                <c:pt idx="126">
                  <c:v>2.3499999999999948</c:v>
                </c:pt>
                <c:pt idx="127">
                  <c:v>2.3999999999999946</c:v>
                </c:pt>
                <c:pt idx="128">
                  <c:v>2.4499999999999944</c:v>
                </c:pt>
                <c:pt idx="129">
                  <c:v>2.4999999999999942</c:v>
                </c:pt>
                <c:pt idx="130">
                  <c:v>2.549999999999994</c:v>
                </c:pt>
                <c:pt idx="131">
                  <c:v>2.5999999999999939</c:v>
                </c:pt>
                <c:pt idx="132">
                  <c:v>2.6499999999999937</c:v>
                </c:pt>
                <c:pt idx="133">
                  <c:v>2.6999999999999935</c:v>
                </c:pt>
                <c:pt idx="134">
                  <c:v>2.7499999999999933</c:v>
                </c:pt>
                <c:pt idx="135">
                  <c:v>2.7999999999999932</c:v>
                </c:pt>
                <c:pt idx="136">
                  <c:v>2.849999999999993</c:v>
                </c:pt>
                <c:pt idx="137">
                  <c:v>2.8999999999999928</c:v>
                </c:pt>
                <c:pt idx="138">
                  <c:v>2.9499999999999926</c:v>
                </c:pt>
                <c:pt idx="139">
                  <c:v>2.9999999999999925</c:v>
                </c:pt>
                <c:pt idx="140">
                  <c:v>3.0499999999999923</c:v>
                </c:pt>
                <c:pt idx="141">
                  <c:v>3.0999999999999921</c:v>
                </c:pt>
                <c:pt idx="142">
                  <c:v>3.1499999999999919</c:v>
                </c:pt>
                <c:pt idx="143">
                  <c:v>3.1999999999999917</c:v>
                </c:pt>
                <c:pt idx="144">
                  <c:v>3.2499999999999916</c:v>
                </c:pt>
                <c:pt idx="145">
                  <c:v>3.2999999999999914</c:v>
                </c:pt>
                <c:pt idx="146">
                  <c:v>3.3499999999999912</c:v>
                </c:pt>
                <c:pt idx="147">
                  <c:v>3.399999999999991</c:v>
                </c:pt>
                <c:pt idx="148">
                  <c:v>3.4499999999999909</c:v>
                </c:pt>
                <c:pt idx="149">
                  <c:v>3.4999999999999907</c:v>
                </c:pt>
                <c:pt idx="150">
                  <c:v>3.5499999999999905</c:v>
                </c:pt>
                <c:pt idx="151">
                  <c:v>3.5999999999999903</c:v>
                </c:pt>
                <c:pt idx="152">
                  <c:v>3.6499999999999901</c:v>
                </c:pt>
                <c:pt idx="153">
                  <c:v>3.69999999999999</c:v>
                </c:pt>
                <c:pt idx="154">
                  <c:v>3.7499999999999898</c:v>
                </c:pt>
                <c:pt idx="155">
                  <c:v>3.7999999999999896</c:v>
                </c:pt>
                <c:pt idx="156">
                  <c:v>3.8499999999999894</c:v>
                </c:pt>
                <c:pt idx="157">
                  <c:v>3.8999999999999893</c:v>
                </c:pt>
                <c:pt idx="158">
                  <c:v>3.9499999999999891</c:v>
                </c:pt>
                <c:pt idx="159">
                  <c:v>3.9999999999999889</c:v>
                </c:pt>
              </c:numCache>
            </c:numRef>
          </c:xVal>
          <c:yVal>
            <c:numRef>
              <c:f>normplts!$E$4:$E$163</c:f>
              <c:numCache>
                <c:formatCode>General</c:formatCode>
                <c:ptCount val="160"/>
                <c:pt idx="0">
                  <c:v>1.3383022576488534E-4</c:v>
                </c:pt>
                <c:pt idx="1">
                  <c:v>1.9865547139277269E-4</c:v>
                </c:pt>
                <c:pt idx="2">
                  <c:v>2.4112658022599321E-4</c:v>
                </c:pt>
                <c:pt idx="3">
                  <c:v>2.9194692579146E-4</c:v>
                </c:pt>
                <c:pt idx="4">
                  <c:v>3.525956823674447E-4</c:v>
                </c:pt>
                <c:pt idx="5">
                  <c:v>4.2478027055075062E-4</c:v>
                </c:pt>
                <c:pt idx="6">
                  <c:v>5.1046497434418408E-4</c:v>
                </c:pt>
                <c:pt idx="7">
                  <c:v>6.1190193011377016E-4</c:v>
                </c:pt>
                <c:pt idx="8">
                  <c:v>7.3166446283030753E-4</c:v>
                </c:pt>
                <c:pt idx="9">
                  <c:v>8.7268269504575614E-4</c:v>
                </c:pt>
                <c:pt idx="10">
                  <c:v>1.0382812956614056E-3</c:v>
                </c:pt>
                <c:pt idx="11">
                  <c:v>1.2322191684730119E-3</c:v>
                </c:pt>
                <c:pt idx="12">
                  <c:v>1.4587308046667368E-3</c:v>
                </c:pt>
                <c:pt idx="13">
                  <c:v>1.7225689390536689E-3</c:v>
                </c:pt>
                <c:pt idx="14">
                  <c:v>2.0290480572997534E-3</c:v>
                </c:pt>
                <c:pt idx="15">
                  <c:v>2.384088201464823E-3</c:v>
                </c:pt>
                <c:pt idx="16">
                  <c:v>2.7942584148794246E-3</c:v>
                </c:pt>
                <c:pt idx="17">
                  <c:v>3.2668190561998922E-3</c:v>
                </c:pt>
                <c:pt idx="18">
                  <c:v>3.8097620982217727E-3</c:v>
                </c:pt>
                <c:pt idx="19">
                  <c:v>4.4318484119379676E-3</c:v>
                </c:pt>
                <c:pt idx="20">
                  <c:v>5.1426409230538881E-3</c:v>
                </c:pt>
                <c:pt idx="21">
                  <c:v>5.9525324197757948E-3</c:v>
                </c:pt>
                <c:pt idx="22">
                  <c:v>6.8727666906139035E-3</c:v>
                </c:pt>
                <c:pt idx="23">
                  <c:v>7.9154515829798783E-3</c:v>
                </c:pt>
                <c:pt idx="24">
                  <c:v>9.0935625015909523E-3</c:v>
                </c:pt>
                <c:pt idx="25">
                  <c:v>1.0420934814422479E-2</c:v>
                </c:pt>
                <c:pt idx="26">
                  <c:v>1.191224360760504E-2</c:v>
                </c:pt>
                <c:pt idx="27">
                  <c:v>1.3582969233685453E-2</c:v>
                </c:pt>
                <c:pt idx="28">
                  <c:v>1.544934713439498E-2</c:v>
                </c:pt>
                <c:pt idx="29">
                  <c:v>1.7528300493568318E-2</c:v>
                </c:pt>
                <c:pt idx="30">
                  <c:v>1.9837354391795081E-2</c:v>
                </c:pt>
                <c:pt idx="31">
                  <c:v>2.2394530294842608E-2</c:v>
                </c:pt>
                <c:pt idx="32">
                  <c:v>2.5218219915194063E-2</c:v>
                </c:pt>
                <c:pt idx="33">
                  <c:v>2.8327037741600808E-2</c:v>
                </c:pt>
                <c:pt idx="34">
                  <c:v>3.1739651835667008E-2</c:v>
                </c:pt>
                <c:pt idx="35">
                  <c:v>3.547459284623096E-2</c:v>
                </c:pt>
                <c:pt idx="36">
                  <c:v>3.9550041589369693E-2</c:v>
                </c:pt>
                <c:pt idx="37">
                  <c:v>4.3983595980426601E-2</c:v>
                </c:pt>
                <c:pt idx="38">
                  <c:v>4.8792018579182105E-2</c:v>
                </c:pt>
                <c:pt idx="39">
                  <c:v>5.3990966513187334E-2</c:v>
                </c:pt>
                <c:pt idx="40">
                  <c:v>5.9594706068815291E-2</c:v>
                </c:pt>
                <c:pt idx="41">
                  <c:v>6.5615814774675763E-2</c:v>
                </c:pt>
                <c:pt idx="42">
                  <c:v>7.2064874336217111E-2</c:v>
                </c:pt>
                <c:pt idx="43">
                  <c:v>7.8950158300893233E-2</c:v>
                </c:pt>
                <c:pt idx="44">
                  <c:v>8.6277318826510532E-2</c:v>
                </c:pt>
                <c:pt idx="45">
                  <c:v>9.4049077376885878E-2</c:v>
                </c:pt>
                <c:pt idx="46">
                  <c:v>0.10226492456397691</c:v>
                </c:pt>
                <c:pt idx="47">
                  <c:v>0.11092083467945445</c:v>
                </c:pt>
                <c:pt idx="48">
                  <c:v>0.12000900069698442</c:v>
                </c:pt>
                <c:pt idx="49">
                  <c:v>0.12951759566589049</c:v>
                </c:pt>
                <c:pt idx="50">
                  <c:v>0.13943056644535901</c:v>
                </c:pt>
                <c:pt idx="51">
                  <c:v>0.14972746563574357</c:v>
                </c:pt>
                <c:pt idx="52">
                  <c:v>0.16038332734191826</c:v>
                </c:pt>
                <c:pt idx="53">
                  <c:v>0.171368592047806</c:v>
                </c:pt>
                <c:pt idx="54">
                  <c:v>0.18264908538902053</c:v>
                </c:pt>
                <c:pt idx="55">
                  <c:v>0.19418605498321151</c:v>
                </c:pt>
                <c:pt idx="56">
                  <c:v>0.20593626871997334</c:v>
                </c:pt>
                <c:pt idx="57">
                  <c:v>0.21785217703254914</c:v>
                </c:pt>
                <c:pt idx="58">
                  <c:v>0.2298821406842316</c:v>
                </c:pt>
                <c:pt idx="59">
                  <c:v>0.24197072451914192</c:v>
                </c:pt>
                <c:pt idx="60">
                  <c:v>0.25405905646918758</c:v>
                </c:pt>
                <c:pt idx="61">
                  <c:v>0.26608524989875343</c:v>
                </c:pt>
                <c:pt idx="62">
                  <c:v>0.27798488613099509</c:v>
                </c:pt>
                <c:pt idx="63">
                  <c:v>0.2896915527614814</c:v>
                </c:pt>
                <c:pt idx="64">
                  <c:v>0.30113743215480315</c:v>
                </c:pt>
                <c:pt idx="65">
                  <c:v>0.31225393336676005</c:v>
                </c:pt>
                <c:pt idx="66">
                  <c:v>0.3229723596679131</c:v>
                </c:pt>
                <c:pt idx="67">
                  <c:v>0.33322460289179856</c:v>
                </c:pt>
                <c:pt idx="68">
                  <c:v>0.34294385501938285</c:v>
                </c:pt>
                <c:pt idx="69">
                  <c:v>0.35206532676429853</c:v>
                </c:pt>
                <c:pt idx="70">
                  <c:v>0.36052696246164706</c:v>
                </c:pt>
                <c:pt idx="71">
                  <c:v>0.36827014030332245</c:v>
                </c:pt>
                <c:pt idx="72">
                  <c:v>0.37524034691693714</c:v>
                </c:pt>
                <c:pt idx="73">
                  <c:v>0.38138781546052347</c:v>
                </c:pt>
                <c:pt idx="74">
                  <c:v>0.38666811680284868</c:v>
                </c:pt>
                <c:pt idx="75">
                  <c:v>0.39104269397545544</c:v>
                </c:pt>
                <c:pt idx="76">
                  <c:v>0.3944793309078885</c:v>
                </c:pt>
                <c:pt idx="77">
                  <c:v>0.39695254747701153</c:v>
                </c:pt>
                <c:pt idx="78">
                  <c:v>0.39844391409476387</c:v>
                </c:pt>
                <c:pt idx="79">
                  <c:v>0.39894228040143265</c:v>
                </c:pt>
                <c:pt idx="80">
                  <c:v>0.3984439140947641</c:v>
                </c:pt>
                <c:pt idx="81">
                  <c:v>0.39695254747701197</c:v>
                </c:pt>
                <c:pt idx="82">
                  <c:v>0.39447933090788917</c:v>
                </c:pt>
                <c:pt idx="83">
                  <c:v>0.39104269397545627</c:v>
                </c:pt>
                <c:pt idx="84">
                  <c:v>0.38666811680284968</c:v>
                </c:pt>
                <c:pt idx="85">
                  <c:v>0.38138781546052464</c:v>
                </c:pt>
                <c:pt idx="86">
                  <c:v>0.37524034691693858</c:v>
                </c:pt>
                <c:pt idx="87">
                  <c:v>0.36827014030332406</c:v>
                </c:pt>
                <c:pt idx="88">
                  <c:v>0.36052696246164878</c:v>
                </c:pt>
                <c:pt idx="89">
                  <c:v>0.35206532676430041</c:v>
                </c:pt>
                <c:pt idx="90">
                  <c:v>0.3429438550193849</c:v>
                </c:pt>
                <c:pt idx="91">
                  <c:v>0.33322460289180067</c:v>
                </c:pt>
                <c:pt idx="92">
                  <c:v>0.32297235966791538</c:v>
                </c:pt>
                <c:pt idx="93">
                  <c:v>0.31225393336676238</c:v>
                </c:pt>
                <c:pt idx="94">
                  <c:v>0.30113743215480554</c:v>
                </c:pt>
                <c:pt idx="95">
                  <c:v>0.28969155276148389</c:v>
                </c:pt>
                <c:pt idx="96">
                  <c:v>0.27798488613099764</c:v>
                </c:pt>
                <c:pt idx="97">
                  <c:v>0.26608524989875604</c:v>
                </c:pt>
                <c:pt idx="98">
                  <c:v>0.25405905646919019</c:v>
                </c:pt>
                <c:pt idx="99">
                  <c:v>0.24197072451914453</c:v>
                </c:pt>
                <c:pt idx="100">
                  <c:v>0.22988214068423421</c:v>
                </c:pt>
                <c:pt idx="101">
                  <c:v>0.21785217703255175</c:v>
                </c:pt>
                <c:pt idx="102">
                  <c:v>0.20593626871997592</c:v>
                </c:pt>
                <c:pt idx="103">
                  <c:v>0.19418605498321406</c:v>
                </c:pt>
                <c:pt idx="104">
                  <c:v>0.182649085389023</c:v>
                </c:pt>
                <c:pt idx="105">
                  <c:v>0.17136859204780841</c:v>
                </c:pt>
                <c:pt idx="106">
                  <c:v>0.16038332734192062</c:v>
                </c:pt>
                <c:pt idx="107">
                  <c:v>0.14972746563574585</c:v>
                </c:pt>
                <c:pt idx="108">
                  <c:v>0.1394305664453612</c:v>
                </c:pt>
                <c:pt idx="109">
                  <c:v>0.12951759566589263</c:v>
                </c:pt>
                <c:pt idx="110">
                  <c:v>0.12000900069698645</c:v>
                </c:pt>
                <c:pt idx="111">
                  <c:v>0.11092083467945635</c:v>
                </c:pt>
                <c:pt idx="112">
                  <c:v>0.10226492456397877</c:v>
                </c:pt>
                <c:pt idx="113">
                  <c:v>9.4049077376887641E-2</c:v>
                </c:pt>
                <c:pt idx="114">
                  <c:v>8.6277318826512184E-2</c:v>
                </c:pt>
                <c:pt idx="115">
                  <c:v>7.8950158300894774E-2</c:v>
                </c:pt>
                <c:pt idx="116">
                  <c:v>7.2064874336218568E-2</c:v>
                </c:pt>
                <c:pt idx="117">
                  <c:v>6.5615814774677136E-2</c:v>
                </c:pt>
                <c:pt idx="118">
                  <c:v>5.9594706068816568E-2</c:v>
                </c:pt>
                <c:pt idx="119">
                  <c:v>5.3990966513188507E-2</c:v>
                </c:pt>
                <c:pt idx="120">
                  <c:v>4.8792018579183173E-2</c:v>
                </c:pt>
                <c:pt idx="121">
                  <c:v>4.3983595980427594E-2</c:v>
                </c:pt>
                <c:pt idx="122">
                  <c:v>3.9550041589370588E-2</c:v>
                </c:pt>
                <c:pt idx="123">
                  <c:v>3.5474592846231792E-2</c:v>
                </c:pt>
                <c:pt idx="124">
                  <c:v>3.1739651835667765E-2</c:v>
                </c:pt>
                <c:pt idx="125">
                  <c:v>2.8327037741601498E-2</c:v>
                </c:pt>
                <c:pt idx="126">
                  <c:v>2.5218219915194701E-2</c:v>
                </c:pt>
                <c:pt idx="127">
                  <c:v>2.2394530294843187E-2</c:v>
                </c:pt>
                <c:pt idx="128">
                  <c:v>1.9837354391795591E-2</c:v>
                </c:pt>
                <c:pt idx="129">
                  <c:v>1.7528300493568787E-2</c:v>
                </c:pt>
                <c:pt idx="130">
                  <c:v>1.5449347134395407E-2</c:v>
                </c:pt>
                <c:pt idx="131">
                  <c:v>1.3582969233685837E-2</c:v>
                </c:pt>
                <c:pt idx="132">
                  <c:v>1.1912243607605379E-2</c:v>
                </c:pt>
                <c:pt idx="133">
                  <c:v>1.0420934814422775E-2</c:v>
                </c:pt>
                <c:pt idx="134">
                  <c:v>9.0935625015912177E-3</c:v>
                </c:pt>
                <c:pt idx="135">
                  <c:v>7.9154515829801143E-3</c:v>
                </c:pt>
                <c:pt idx="136">
                  <c:v>6.8727666906141108E-3</c:v>
                </c:pt>
                <c:pt idx="137">
                  <c:v>5.9525324197759796E-3</c:v>
                </c:pt>
                <c:pt idx="138">
                  <c:v>5.1426409230540529E-3</c:v>
                </c:pt>
                <c:pt idx="139">
                  <c:v>4.431848411938109E-3</c:v>
                </c:pt>
                <c:pt idx="140">
                  <c:v>3.809762098221898E-3</c:v>
                </c:pt>
                <c:pt idx="141">
                  <c:v>3.2668190561999997E-3</c:v>
                </c:pt>
                <c:pt idx="142">
                  <c:v>2.7942584148795161E-3</c:v>
                </c:pt>
                <c:pt idx="143">
                  <c:v>2.3840882014649059E-3</c:v>
                </c:pt>
                <c:pt idx="144">
                  <c:v>2.0290480572998236E-3</c:v>
                </c:pt>
                <c:pt idx="145">
                  <c:v>1.7225689390537287E-3</c:v>
                </c:pt>
                <c:pt idx="146">
                  <c:v>1.4587308046667884E-3</c:v>
                </c:pt>
                <c:pt idx="147">
                  <c:v>1.232219168473057E-3</c:v>
                </c:pt>
                <c:pt idx="148">
                  <c:v>1.0382812956614435E-3</c:v>
                </c:pt>
                <c:pt idx="149">
                  <c:v>8.7268269504578867E-4</c:v>
                </c:pt>
                <c:pt idx="150">
                  <c:v>7.3166446283033551E-4</c:v>
                </c:pt>
                <c:pt idx="151">
                  <c:v>6.1190193011379358E-4</c:v>
                </c:pt>
                <c:pt idx="152">
                  <c:v>5.104649743442037E-4</c:v>
                </c:pt>
                <c:pt idx="153">
                  <c:v>4.2478027055076764E-4</c:v>
                </c:pt>
                <c:pt idx="154">
                  <c:v>3.5259568236745885E-4</c:v>
                </c:pt>
                <c:pt idx="155">
                  <c:v>2.919469257914716E-4</c:v>
                </c:pt>
                <c:pt idx="156">
                  <c:v>2.4112658022600329E-4</c:v>
                </c:pt>
                <c:pt idx="157">
                  <c:v>1.9865547139278098E-4</c:v>
                </c:pt>
                <c:pt idx="158">
                  <c:v>1.6325640876624909E-4</c:v>
                </c:pt>
                <c:pt idx="159">
                  <c:v>1.338302257648913E-4</c:v>
                </c:pt>
              </c:numCache>
            </c:numRef>
          </c:yVal>
        </c:ser>
        <c:ser>
          <c:idx val="1"/>
          <c:order val="1"/>
          <c:tx>
            <c:strRef>
              <c:f>normplts!$H$8</c:f>
              <c:strCache>
                <c:ptCount val="1"/>
                <c:pt idx="0">
                  <c:v>Affected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normplts!$B$4:$B$163</c:f>
              <c:numCache>
                <c:formatCode>General</c:formatCode>
                <c:ptCount val="160"/>
                <c:pt idx="0">
                  <c:v>-3.3830397188506707</c:v>
                </c:pt>
                <c:pt idx="1">
                  <c:v>-3.2830397188506706</c:v>
                </c:pt>
                <c:pt idx="2">
                  <c:v>-3.2330397188506708</c:v>
                </c:pt>
                <c:pt idx="3">
                  <c:v>-3.1830397188506709</c:v>
                </c:pt>
                <c:pt idx="4">
                  <c:v>-3.1330397188506711</c:v>
                </c:pt>
                <c:pt idx="5">
                  <c:v>-3.0830397188506713</c:v>
                </c:pt>
                <c:pt idx="6">
                  <c:v>-3.0330397188506715</c:v>
                </c:pt>
                <c:pt idx="7">
                  <c:v>-2.9830397188506717</c:v>
                </c:pt>
                <c:pt idx="8">
                  <c:v>-2.9330397188506718</c:v>
                </c:pt>
                <c:pt idx="9">
                  <c:v>-2.883039718850672</c:v>
                </c:pt>
                <c:pt idx="10">
                  <c:v>-2.8330397188506722</c:v>
                </c:pt>
                <c:pt idx="11">
                  <c:v>-2.7830397188506724</c:v>
                </c:pt>
                <c:pt idx="12">
                  <c:v>-2.7330397188506725</c:v>
                </c:pt>
                <c:pt idx="13">
                  <c:v>-2.6830397188506727</c:v>
                </c:pt>
                <c:pt idx="14">
                  <c:v>-2.6330397188506729</c:v>
                </c:pt>
                <c:pt idx="15">
                  <c:v>-2.5830397188506731</c:v>
                </c:pt>
                <c:pt idx="16">
                  <c:v>-2.5330397188506732</c:v>
                </c:pt>
                <c:pt idx="17">
                  <c:v>-2.4830397188506734</c:v>
                </c:pt>
                <c:pt idx="18">
                  <c:v>-2.4330397188506736</c:v>
                </c:pt>
                <c:pt idx="19">
                  <c:v>-2.3830397188506738</c:v>
                </c:pt>
                <c:pt idx="20">
                  <c:v>-2.333039718850674</c:v>
                </c:pt>
                <c:pt idx="21">
                  <c:v>-2.2830397188506741</c:v>
                </c:pt>
                <c:pt idx="22">
                  <c:v>-2.2330397188506743</c:v>
                </c:pt>
                <c:pt idx="23">
                  <c:v>-2.1830397188506745</c:v>
                </c:pt>
                <c:pt idx="24">
                  <c:v>-2.1330397188506747</c:v>
                </c:pt>
                <c:pt idx="25">
                  <c:v>-2.0830397188506748</c:v>
                </c:pt>
                <c:pt idx="26">
                  <c:v>-2.033039718850675</c:v>
                </c:pt>
                <c:pt idx="27">
                  <c:v>-1.9830397188506752</c:v>
                </c:pt>
                <c:pt idx="28">
                  <c:v>-1.9330397188506754</c:v>
                </c:pt>
                <c:pt idx="29">
                  <c:v>-1.8830397188506756</c:v>
                </c:pt>
                <c:pt idx="30">
                  <c:v>-1.8330397188506757</c:v>
                </c:pt>
                <c:pt idx="31">
                  <c:v>-1.7830397188506759</c:v>
                </c:pt>
                <c:pt idx="32">
                  <c:v>-1.7330397188506761</c:v>
                </c:pt>
                <c:pt idx="33">
                  <c:v>-1.6830397188506763</c:v>
                </c:pt>
                <c:pt idx="34">
                  <c:v>-1.6330397188506764</c:v>
                </c:pt>
                <c:pt idx="35">
                  <c:v>-1.5830397188506766</c:v>
                </c:pt>
                <c:pt idx="36">
                  <c:v>-1.5330397188506768</c:v>
                </c:pt>
                <c:pt idx="37">
                  <c:v>-1.483039718850677</c:v>
                </c:pt>
                <c:pt idx="38">
                  <c:v>-1.4330397188506772</c:v>
                </c:pt>
                <c:pt idx="39">
                  <c:v>-1.3830397188506773</c:v>
                </c:pt>
                <c:pt idx="40">
                  <c:v>-1.3330397188506773</c:v>
                </c:pt>
                <c:pt idx="41">
                  <c:v>-1.2830397188506772</c:v>
                </c:pt>
                <c:pt idx="42">
                  <c:v>-1.2330397188506772</c:v>
                </c:pt>
                <c:pt idx="43">
                  <c:v>-1.1830397188506772</c:v>
                </c:pt>
                <c:pt idx="44">
                  <c:v>-1.1330397188506771</c:v>
                </c:pt>
                <c:pt idx="45">
                  <c:v>-1.0830397188506771</c:v>
                </c:pt>
                <c:pt idx="46">
                  <c:v>-1.033039718850677</c:v>
                </c:pt>
                <c:pt idx="47">
                  <c:v>-0.98303971885067698</c:v>
                </c:pt>
                <c:pt idx="48">
                  <c:v>-0.93303971885067694</c:v>
                </c:pt>
                <c:pt idx="49">
                  <c:v>-0.88303971885067689</c:v>
                </c:pt>
                <c:pt idx="50">
                  <c:v>-0.83303971885067685</c:v>
                </c:pt>
                <c:pt idx="51">
                  <c:v>-0.7830397188506768</c:v>
                </c:pt>
                <c:pt idx="52">
                  <c:v>-0.73303971885067676</c:v>
                </c:pt>
                <c:pt idx="53">
                  <c:v>-0.68303971885067671</c:v>
                </c:pt>
                <c:pt idx="54">
                  <c:v>-0.63303971885067667</c:v>
                </c:pt>
                <c:pt idx="55">
                  <c:v>-0.58303971885067662</c:v>
                </c:pt>
                <c:pt idx="56">
                  <c:v>-0.53303971885067658</c:v>
                </c:pt>
                <c:pt idx="57">
                  <c:v>-0.48303971885067654</c:v>
                </c:pt>
                <c:pt idx="58">
                  <c:v>-0.43303971885067649</c:v>
                </c:pt>
                <c:pt idx="59">
                  <c:v>-0.38303971885067645</c:v>
                </c:pt>
                <c:pt idx="60">
                  <c:v>-0.3330397188506764</c:v>
                </c:pt>
                <c:pt idx="61">
                  <c:v>-0.28303971885067636</c:v>
                </c:pt>
                <c:pt idx="62">
                  <c:v>-0.23303971885067631</c:v>
                </c:pt>
                <c:pt idx="63">
                  <c:v>-0.18303971885067627</c:v>
                </c:pt>
                <c:pt idx="64">
                  <c:v>-0.13303971885067623</c:v>
                </c:pt>
                <c:pt idx="65">
                  <c:v>-8.3039718850676181E-2</c:v>
                </c:pt>
                <c:pt idx="66">
                  <c:v>-3.3039718850676136E-2</c:v>
                </c:pt>
                <c:pt idx="67">
                  <c:v>1.6960281149323908E-2</c:v>
                </c:pt>
                <c:pt idx="68">
                  <c:v>6.6960281149323952E-2</c:v>
                </c:pt>
                <c:pt idx="69">
                  <c:v>0.116960281149324</c:v>
                </c:pt>
                <c:pt idx="70">
                  <c:v>0.16696028114932399</c:v>
                </c:pt>
                <c:pt idx="71">
                  <c:v>0.21696028114932397</c:v>
                </c:pt>
                <c:pt idx="72">
                  <c:v>0.26696028114932396</c:v>
                </c:pt>
                <c:pt idx="73">
                  <c:v>0.31696028114932395</c:v>
                </c:pt>
                <c:pt idx="74">
                  <c:v>0.36696028114932394</c:v>
                </c:pt>
                <c:pt idx="75">
                  <c:v>0.41696028114932393</c:v>
                </c:pt>
                <c:pt idx="76">
                  <c:v>0.46696028114932392</c:v>
                </c:pt>
                <c:pt idx="77">
                  <c:v>0.51696028114932391</c:v>
                </c:pt>
                <c:pt idx="78">
                  <c:v>0.56696028114932395</c:v>
                </c:pt>
                <c:pt idx="79">
                  <c:v>0.61696028114932389</c:v>
                </c:pt>
                <c:pt idx="80">
                  <c:v>0.66696028114932393</c:v>
                </c:pt>
                <c:pt idx="81">
                  <c:v>0.71696028114932397</c:v>
                </c:pt>
                <c:pt idx="82">
                  <c:v>0.76696028114932391</c:v>
                </c:pt>
                <c:pt idx="83">
                  <c:v>0.81696028114932395</c:v>
                </c:pt>
                <c:pt idx="84">
                  <c:v>0.866960281149324</c:v>
                </c:pt>
                <c:pt idx="85">
                  <c:v>0.91696028114932393</c:v>
                </c:pt>
                <c:pt idx="86">
                  <c:v>0.96696028114932386</c:v>
                </c:pt>
                <c:pt idx="87">
                  <c:v>1.0169602811493239</c:v>
                </c:pt>
                <c:pt idx="88">
                  <c:v>1.066960281149324</c:v>
                </c:pt>
                <c:pt idx="89">
                  <c:v>1.116960281149324</c:v>
                </c:pt>
                <c:pt idx="90">
                  <c:v>1.1669602811493238</c:v>
                </c:pt>
                <c:pt idx="91">
                  <c:v>1.2169602811493241</c:v>
                </c:pt>
                <c:pt idx="92">
                  <c:v>1.2669602811493239</c:v>
                </c:pt>
                <c:pt idx="93">
                  <c:v>1.3169602811493242</c:v>
                </c:pt>
                <c:pt idx="94">
                  <c:v>1.366960281149324</c:v>
                </c:pt>
                <c:pt idx="95">
                  <c:v>1.4169602811493243</c:v>
                </c:pt>
                <c:pt idx="96">
                  <c:v>1.4669602811493241</c:v>
                </c:pt>
                <c:pt idx="97">
                  <c:v>1.5169602811493244</c:v>
                </c:pt>
                <c:pt idx="98">
                  <c:v>1.5669602811493242</c:v>
                </c:pt>
                <c:pt idx="99">
                  <c:v>1.6169602811493244</c:v>
                </c:pt>
                <c:pt idx="100">
                  <c:v>1.6669602811493243</c:v>
                </c:pt>
                <c:pt idx="101">
                  <c:v>1.7169602811493243</c:v>
                </c:pt>
                <c:pt idx="102">
                  <c:v>1.7669602811493244</c:v>
                </c:pt>
                <c:pt idx="103">
                  <c:v>1.8169602811493244</c:v>
                </c:pt>
                <c:pt idx="104">
                  <c:v>1.8669602811493244</c:v>
                </c:pt>
                <c:pt idx="105">
                  <c:v>1.9169602811493245</c:v>
                </c:pt>
                <c:pt idx="106">
                  <c:v>1.9669602811493245</c:v>
                </c:pt>
                <c:pt idx="107">
                  <c:v>2.0169602811493244</c:v>
                </c:pt>
                <c:pt idx="108">
                  <c:v>2.0669602811493246</c:v>
                </c:pt>
                <c:pt idx="109">
                  <c:v>2.1169602811493249</c:v>
                </c:pt>
                <c:pt idx="110">
                  <c:v>2.1669602811493247</c:v>
                </c:pt>
                <c:pt idx="111">
                  <c:v>2.2169602811493245</c:v>
                </c:pt>
                <c:pt idx="112">
                  <c:v>2.2669602811493248</c:v>
                </c:pt>
                <c:pt idx="113">
                  <c:v>2.3169602811493251</c:v>
                </c:pt>
                <c:pt idx="114">
                  <c:v>2.3669602811493249</c:v>
                </c:pt>
                <c:pt idx="115">
                  <c:v>2.4169602811493247</c:v>
                </c:pt>
                <c:pt idx="116">
                  <c:v>2.466960281149325</c:v>
                </c:pt>
                <c:pt idx="117">
                  <c:v>2.5169602811493252</c:v>
                </c:pt>
                <c:pt idx="118">
                  <c:v>2.5669602811493251</c:v>
                </c:pt>
                <c:pt idx="119">
                  <c:v>2.6169602811493249</c:v>
                </c:pt>
                <c:pt idx="120">
                  <c:v>2.6669602811493252</c:v>
                </c:pt>
                <c:pt idx="121">
                  <c:v>2.716960281149325</c:v>
                </c:pt>
                <c:pt idx="122">
                  <c:v>2.7669602811493248</c:v>
                </c:pt>
                <c:pt idx="123">
                  <c:v>2.8169602811493246</c:v>
                </c:pt>
                <c:pt idx="124">
                  <c:v>2.8669602811493244</c:v>
                </c:pt>
                <c:pt idx="125">
                  <c:v>2.9169602811493243</c:v>
                </c:pt>
                <c:pt idx="126">
                  <c:v>2.9669602811493241</c:v>
                </c:pt>
                <c:pt idx="127">
                  <c:v>3.0169602811493239</c:v>
                </c:pt>
                <c:pt idx="128">
                  <c:v>3.0669602811493237</c:v>
                </c:pt>
                <c:pt idx="129">
                  <c:v>3.1169602811493236</c:v>
                </c:pt>
                <c:pt idx="130">
                  <c:v>3.1669602811493234</c:v>
                </c:pt>
                <c:pt idx="131">
                  <c:v>3.2169602811493232</c:v>
                </c:pt>
                <c:pt idx="132">
                  <c:v>3.266960281149323</c:v>
                </c:pt>
                <c:pt idx="133">
                  <c:v>3.3169602811493228</c:v>
                </c:pt>
                <c:pt idx="134">
                  <c:v>3.3669602811493227</c:v>
                </c:pt>
                <c:pt idx="135">
                  <c:v>3.4169602811493225</c:v>
                </c:pt>
                <c:pt idx="136">
                  <c:v>3.4669602811493223</c:v>
                </c:pt>
                <c:pt idx="137">
                  <c:v>3.5169602811493221</c:v>
                </c:pt>
                <c:pt idx="138">
                  <c:v>3.566960281149322</c:v>
                </c:pt>
                <c:pt idx="139">
                  <c:v>3.6169602811493218</c:v>
                </c:pt>
                <c:pt idx="140">
                  <c:v>3.6669602811493216</c:v>
                </c:pt>
                <c:pt idx="141">
                  <c:v>3.7169602811493214</c:v>
                </c:pt>
                <c:pt idx="142">
                  <c:v>3.7669602811493212</c:v>
                </c:pt>
                <c:pt idx="143">
                  <c:v>3.8169602811493211</c:v>
                </c:pt>
                <c:pt idx="144">
                  <c:v>3.8669602811493209</c:v>
                </c:pt>
                <c:pt idx="145">
                  <c:v>3.9169602811493207</c:v>
                </c:pt>
                <c:pt idx="146">
                  <c:v>3.9669602811493205</c:v>
                </c:pt>
                <c:pt idx="147">
                  <c:v>4.0169602811493199</c:v>
                </c:pt>
                <c:pt idx="148">
                  <c:v>4.0669602811493206</c:v>
                </c:pt>
                <c:pt idx="149">
                  <c:v>4.1169602811493196</c:v>
                </c:pt>
                <c:pt idx="150">
                  <c:v>4.1669602811493203</c:v>
                </c:pt>
                <c:pt idx="151">
                  <c:v>4.2169602811493192</c:v>
                </c:pt>
                <c:pt idx="152">
                  <c:v>4.2669602811493199</c:v>
                </c:pt>
                <c:pt idx="153">
                  <c:v>4.3169602811493188</c:v>
                </c:pt>
                <c:pt idx="154">
                  <c:v>4.3669602811493196</c:v>
                </c:pt>
                <c:pt idx="155">
                  <c:v>4.4169602811493185</c:v>
                </c:pt>
                <c:pt idx="156">
                  <c:v>4.4669602811493192</c:v>
                </c:pt>
                <c:pt idx="157">
                  <c:v>4.5169602811493181</c:v>
                </c:pt>
                <c:pt idx="158">
                  <c:v>4.5669602811493188</c:v>
                </c:pt>
                <c:pt idx="159">
                  <c:v>4.6169602811493178</c:v>
                </c:pt>
              </c:numCache>
            </c:numRef>
          </c:xVal>
          <c:yVal>
            <c:numRef>
              <c:f>normplts!$C$4:$C$163</c:f>
              <c:numCache>
                <c:formatCode>General</c:formatCode>
                <c:ptCount val="160"/>
                <c:pt idx="0">
                  <c:v>1.3383022576488534E-4</c:v>
                </c:pt>
                <c:pt idx="1">
                  <c:v>1.9865547139277269E-4</c:v>
                </c:pt>
                <c:pt idx="2">
                  <c:v>2.4112658022599321E-4</c:v>
                </c:pt>
                <c:pt idx="3">
                  <c:v>2.9194692579146E-4</c:v>
                </c:pt>
                <c:pt idx="4">
                  <c:v>3.525956823674447E-4</c:v>
                </c:pt>
                <c:pt idx="5">
                  <c:v>4.2478027055075062E-4</c:v>
                </c:pt>
                <c:pt idx="6">
                  <c:v>5.1046497434418408E-4</c:v>
                </c:pt>
                <c:pt idx="7">
                  <c:v>6.1190193011377016E-4</c:v>
                </c:pt>
                <c:pt idx="8">
                  <c:v>7.3166446283030753E-4</c:v>
                </c:pt>
                <c:pt idx="9">
                  <c:v>8.7268269504575614E-4</c:v>
                </c:pt>
                <c:pt idx="10">
                  <c:v>1.0382812956614056E-3</c:v>
                </c:pt>
                <c:pt idx="11">
                  <c:v>1.2322191684730119E-3</c:v>
                </c:pt>
                <c:pt idx="12">
                  <c:v>1.4587308046667368E-3</c:v>
                </c:pt>
                <c:pt idx="13">
                  <c:v>1.7225689390536689E-3</c:v>
                </c:pt>
                <c:pt idx="14">
                  <c:v>2.0290480572997534E-3</c:v>
                </c:pt>
                <c:pt idx="15">
                  <c:v>2.384088201464823E-3</c:v>
                </c:pt>
                <c:pt idx="16">
                  <c:v>2.7942584148794246E-3</c:v>
                </c:pt>
                <c:pt idx="17">
                  <c:v>3.2668190561998922E-3</c:v>
                </c:pt>
                <c:pt idx="18">
                  <c:v>3.8097620982217727E-3</c:v>
                </c:pt>
                <c:pt idx="19">
                  <c:v>4.4318484119379676E-3</c:v>
                </c:pt>
                <c:pt idx="20">
                  <c:v>5.1426409230538881E-3</c:v>
                </c:pt>
                <c:pt idx="21">
                  <c:v>5.9525324197757948E-3</c:v>
                </c:pt>
                <c:pt idx="22">
                  <c:v>6.8727666906139035E-3</c:v>
                </c:pt>
                <c:pt idx="23">
                  <c:v>7.9154515829798783E-3</c:v>
                </c:pt>
                <c:pt idx="24">
                  <c:v>9.0935625015909523E-3</c:v>
                </c:pt>
                <c:pt idx="25">
                  <c:v>1.0420934814422479E-2</c:v>
                </c:pt>
                <c:pt idx="26">
                  <c:v>1.191224360760504E-2</c:v>
                </c:pt>
                <c:pt idx="27">
                  <c:v>1.3582969233685453E-2</c:v>
                </c:pt>
                <c:pt idx="28">
                  <c:v>1.544934713439498E-2</c:v>
                </c:pt>
                <c:pt idx="29">
                  <c:v>1.7528300493568318E-2</c:v>
                </c:pt>
                <c:pt idx="30">
                  <c:v>1.9837354391795081E-2</c:v>
                </c:pt>
                <c:pt idx="31">
                  <c:v>2.2394530294842608E-2</c:v>
                </c:pt>
                <c:pt idx="32">
                  <c:v>2.5218219915194063E-2</c:v>
                </c:pt>
                <c:pt idx="33">
                  <c:v>2.8327037741600808E-2</c:v>
                </c:pt>
                <c:pt idx="34">
                  <c:v>3.1739651835667008E-2</c:v>
                </c:pt>
                <c:pt idx="35">
                  <c:v>3.547459284623096E-2</c:v>
                </c:pt>
                <c:pt idx="36">
                  <c:v>3.9550041589369693E-2</c:v>
                </c:pt>
                <c:pt idx="37">
                  <c:v>4.3983595980426601E-2</c:v>
                </c:pt>
                <c:pt idx="38">
                  <c:v>4.8792018579182105E-2</c:v>
                </c:pt>
                <c:pt idx="39">
                  <c:v>5.3990966513187334E-2</c:v>
                </c:pt>
                <c:pt idx="40">
                  <c:v>5.9594706068815291E-2</c:v>
                </c:pt>
                <c:pt idx="41">
                  <c:v>6.5615814774675763E-2</c:v>
                </c:pt>
                <c:pt idx="42">
                  <c:v>7.2064874336217111E-2</c:v>
                </c:pt>
                <c:pt idx="43">
                  <c:v>7.8950158300893233E-2</c:v>
                </c:pt>
                <c:pt idx="44">
                  <c:v>8.6277318826510532E-2</c:v>
                </c:pt>
                <c:pt idx="45">
                  <c:v>9.4049077376885878E-2</c:v>
                </c:pt>
                <c:pt idx="46">
                  <c:v>0.10226492456397691</c:v>
                </c:pt>
                <c:pt idx="47">
                  <c:v>0.11092083467945445</c:v>
                </c:pt>
                <c:pt idx="48">
                  <c:v>0.12000900069698442</c:v>
                </c:pt>
                <c:pt idx="49">
                  <c:v>0.12951759566589049</c:v>
                </c:pt>
                <c:pt idx="50">
                  <c:v>0.13943056644535901</c:v>
                </c:pt>
                <c:pt idx="51">
                  <c:v>0.14972746563574357</c:v>
                </c:pt>
                <c:pt idx="52">
                  <c:v>0.16038332734191826</c:v>
                </c:pt>
                <c:pt idx="53">
                  <c:v>0.171368592047806</c:v>
                </c:pt>
                <c:pt idx="54">
                  <c:v>0.18264908538902053</c:v>
                </c:pt>
                <c:pt idx="55">
                  <c:v>0.19418605498321151</c:v>
                </c:pt>
                <c:pt idx="56">
                  <c:v>0.20593626871997334</c:v>
                </c:pt>
                <c:pt idx="57">
                  <c:v>0.21785217703254914</c:v>
                </c:pt>
                <c:pt idx="58">
                  <c:v>0.2298821406842316</c:v>
                </c:pt>
                <c:pt idx="59">
                  <c:v>0.24197072451914192</c:v>
                </c:pt>
                <c:pt idx="60">
                  <c:v>0.25405905646918758</c:v>
                </c:pt>
                <c:pt idx="61">
                  <c:v>0.26608524989875343</c:v>
                </c:pt>
                <c:pt idx="62">
                  <c:v>0.27798488613099509</c:v>
                </c:pt>
                <c:pt idx="63">
                  <c:v>0.2896915527614814</c:v>
                </c:pt>
                <c:pt idx="64">
                  <c:v>0.30113743215480315</c:v>
                </c:pt>
                <c:pt idx="65">
                  <c:v>0.31225393336676005</c:v>
                </c:pt>
                <c:pt idx="66">
                  <c:v>0.3229723596679131</c:v>
                </c:pt>
                <c:pt idx="67">
                  <c:v>0.33322460289179856</c:v>
                </c:pt>
                <c:pt idx="68">
                  <c:v>0.34294385501938285</c:v>
                </c:pt>
                <c:pt idx="69">
                  <c:v>0.35206532676429853</c:v>
                </c:pt>
                <c:pt idx="70">
                  <c:v>0.36052696246164706</c:v>
                </c:pt>
                <c:pt idx="71">
                  <c:v>0.36827014030332245</c:v>
                </c:pt>
                <c:pt idx="72">
                  <c:v>0.37524034691693714</c:v>
                </c:pt>
                <c:pt idx="73">
                  <c:v>0.38138781546052347</c:v>
                </c:pt>
                <c:pt idx="74">
                  <c:v>0.38666811680284868</c:v>
                </c:pt>
                <c:pt idx="75">
                  <c:v>0.39104269397545544</c:v>
                </c:pt>
                <c:pt idx="76">
                  <c:v>0.3944793309078885</c:v>
                </c:pt>
                <c:pt idx="77">
                  <c:v>0.39695254747701153</c:v>
                </c:pt>
                <c:pt idx="78">
                  <c:v>0.39844391409476387</c:v>
                </c:pt>
                <c:pt idx="79">
                  <c:v>0.39894228040143265</c:v>
                </c:pt>
                <c:pt idx="80">
                  <c:v>0.3984439140947641</c:v>
                </c:pt>
                <c:pt idx="81">
                  <c:v>0.39695254747701197</c:v>
                </c:pt>
                <c:pt idx="82">
                  <c:v>0.39447933090788917</c:v>
                </c:pt>
                <c:pt idx="83">
                  <c:v>0.39104269397545627</c:v>
                </c:pt>
                <c:pt idx="84">
                  <c:v>0.38666811680284968</c:v>
                </c:pt>
                <c:pt idx="85">
                  <c:v>0.38138781546052464</c:v>
                </c:pt>
                <c:pt idx="86">
                  <c:v>0.37524034691693858</c:v>
                </c:pt>
                <c:pt idx="87">
                  <c:v>0.36827014030332406</c:v>
                </c:pt>
                <c:pt idx="88">
                  <c:v>0.36052696246164878</c:v>
                </c:pt>
                <c:pt idx="89">
                  <c:v>0.35206532676430041</c:v>
                </c:pt>
                <c:pt idx="90">
                  <c:v>0.3429438550193849</c:v>
                </c:pt>
                <c:pt idx="91">
                  <c:v>0.33322460289180067</c:v>
                </c:pt>
                <c:pt idx="92">
                  <c:v>0.32297235966791538</c:v>
                </c:pt>
                <c:pt idx="93">
                  <c:v>0.31225393336676238</c:v>
                </c:pt>
                <c:pt idx="94">
                  <c:v>0.3011374321548056</c:v>
                </c:pt>
                <c:pt idx="95">
                  <c:v>0.28969155276148389</c:v>
                </c:pt>
                <c:pt idx="96">
                  <c:v>0.2779848861309977</c:v>
                </c:pt>
                <c:pt idx="97">
                  <c:v>0.26608524989875598</c:v>
                </c:pt>
                <c:pt idx="98">
                  <c:v>0.25405905646919025</c:v>
                </c:pt>
                <c:pt idx="99">
                  <c:v>0.24197072451914453</c:v>
                </c:pt>
                <c:pt idx="100">
                  <c:v>0.22988214068423421</c:v>
                </c:pt>
                <c:pt idx="101">
                  <c:v>0.21785217703255175</c:v>
                </c:pt>
                <c:pt idx="102">
                  <c:v>0.20593626871997592</c:v>
                </c:pt>
                <c:pt idx="103">
                  <c:v>0.19418605498321406</c:v>
                </c:pt>
                <c:pt idx="104">
                  <c:v>0.182649085389023</c:v>
                </c:pt>
                <c:pt idx="105">
                  <c:v>0.17136859204780841</c:v>
                </c:pt>
                <c:pt idx="106">
                  <c:v>0.16038332734192062</c:v>
                </c:pt>
                <c:pt idx="107">
                  <c:v>0.1497274656357459</c:v>
                </c:pt>
                <c:pt idx="108">
                  <c:v>0.1394305664453612</c:v>
                </c:pt>
                <c:pt idx="109">
                  <c:v>0.12951759566589258</c:v>
                </c:pt>
                <c:pt idx="110">
                  <c:v>0.12000900069698645</c:v>
                </c:pt>
                <c:pt idx="111">
                  <c:v>0.11092083467945642</c:v>
                </c:pt>
                <c:pt idx="112">
                  <c:v>0.10226492456397877</c:v>
                </c:pt>
                <c:pt idx="113">
                  <c:v>9.4049077376887599E-2</c:v>
                </c:pt>
                <c:pt idx="114">
                  <c:v>8.6277318826512184E-2</c:v>
                </c:pt>
                <c:pt idx="115">
                  <c:v>7.8950158300894802E-2</c:v>
                </c:pt>
                <c:pt idx="116">
                  <c:v>7.2064874336218568E-2</c:v>
                </c:pt>
                <c:pt idx="117">
                  <c:v>6.5615814774677095E-2</c:v>
                </c:pt>
                <c:pt idx="118">
                  <c:v>5.9594706068816568E-2</c:v>
                </c:pt>
                <c:pt idx="119">
                  <c:v>5.3990966513188528E-2</c:v>
                </c:pt>
                <c:pt idx="120">
                  <c:v>4.8792018579183173E-2</c:v>
                </c:pt>
                <c:pt idx="121">
                  <c:v>4.3983595980427594E-2</c:v>
                </c:pt>
                <c:pt idx="122">
                  <c:v>3.9550041589370588E-2</c:v>
                </c:pt>
                <c:pt idx="123">
                  <c:v>3.5474592846231792E-2</c:v>
                </c:pt>
                <c:pt idx="124">
                  <c:v>3.1739651835667765E-2</c:v>
                </c:pt>
                <c:pt idx="125">
                  <c:v>2.8327037741601498E-2</c:v>
                </c:pt>
                <c:pt idx="126">
                  <c:v>2.5218219915194701E-2</c:v>
                </c:pt>
                <c:pt idx="127">
                  <c:v>2.2394530294843187E-2</c:v>
                </c:pt>
                <c:pt idx="128">
                  <c:v>1.9837354391795591E-2</c:v>
                </c:pt>
                <c:pt idx="129">
                  <c:v>1.7528300493568787E-2</c:v>
                </c:pt>
                <c:pt idx="130">
                  <c:v>1.5449347134395407E-2</c:v>
                </c:pt>
                <c:pt idx="131">
                  <c:v>1.3582969233685837E-2</c:v>
                </c:pt>
                <c:pt idx="132">
                  <c:v>1.1912243607605379E-2</c:v>
                </c:pt>
                <c:pt idx="133">
                  <c:v>1.0420934814422775E-2</c:v>
                </c:pt>
                <c:pt idx="134">
                  <c:v>9.0935625015912177E-3</c:v>
                </c:pt>
                <c:pt idx="135">
                  <c:v>7.9154515829801143E-3</c:v>
                </c:pt>
                <c:pt idx="136">
                  <c:v>6.8727666906141108E-3</c:v>
                </c:pt>
                <c:pt idx="137">
                  <c:v>5.9525324197759796E-3</c:v>
                </c:pt>
                <c:pt idx="138">
                  <c:v>5.1426409230540529E-3</c:v>
                </c:pt>
                <c:pt idx="139">
                  <c:v>4.431848411938109E-3</c:v>
                </c:pt>
                <c:pt idx="140">
                  <c:v>3.809762098221898E-3</c:v>
                </c:pt>
                <c:pt idx="141">
                  <c:v>3.2668190561999997E-3</c:v>
                </c:pt>
                <c:pt idx="142">
                  <c:v>2.7942584148795161E-3</c:v>
                </c:pt>
                <c:pt idx="143">
                  <c:v>2.3840882014649059E-3</c:v>
                </c:pt>
                <c:pt idx="144">
                  <c:v>2.0290480572998236E-3</c:v>
                </c:pt>
                <c:pt idx="145">
                  <c:v>1.7225689390537287E-3</c:v>
                </c:pt>
                <c:pt idx="146">
                  <c:v>1.4587308046667884E-3</c:v>
                </c:pt>
                <c:pt idx="147">
                  <c:v>1.2322191684730579E-3</c:v>
                </c:pt>
                <c:pt idx="148">
                  <c:v>1.0382812956614424E-3</c:v>
                </c:pt>
                <c:pt idx="149">
                  <c:v>8.7268269504578943E-4</c:v>
                </c:pt>
                <c:pt idx="150">
                  <c:v>7.316644628303342E-4</c:v>
                </c:pt>
                <c:pt idx="151">
                  <c:v>6.1190193011379467E-4</c:v>
                </c:pt>
                <c:pt idx="152">
                  <c:v>5.1046497434420327E-4</c:v>
                </c:pt>
                <c:pt idx="153">
                  <c:v>4.2478027055076797E-4</c:v>
                </c:pt>
                <c:pt idx="154">
                  <c:v>3.525956823674582E-4</c:v>
                </c:pt>
                <c:pt idx="155">
                  <c:v>2.9194692579147214E-4</c:v>
                </c:pt>
                <c:pt idx="156">
                  <c:v>2.4112658022600286E-4</c:v>
                </c:pt>
                <c:pt idx="157">
                  <c:v>1.9865547139278134E-4</c:v>
                </c:pt>
                <c:pt idx="158">
                  <c:v>1.6325640876624879E-4</c:v>
                </c:pt>
                <c:pt idx="159">
                  <c:v>1.3383022576489152E-4</c:v>
                </c:pt>
              </c:numCache>
            </c:numRef>
          </c:yVal>
        </c:ser>
        <c:ser>
          <c:idx val="2"/>
          <c:order val="2"/>
          <c:tx>
            <c:strRef>
              <c:f>normplts!$H$8</c:f>
              <c:strCache>
                <c:ptCount val="1"/>
                <c:pt idx="0">
                  <c:v>Affected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normplts!$I$8</c:f>
              <c:numCache>
                <c:formatCode>General</c:formatCode>
                <c:ptCount val="1"/>
                <c:pt idx="0">
                  <c:v>4.6169602811493178</c:v>
                </c:pt>
              </c:numCache>
            </c:numRef>
          </c:xVal>
          <c:yVal>
            <c:numRef>
              <c:f>normplts!$J$8</c:f>
              <c:numCache>
                <c:formatCode>General</c:formatCode>
                <c:ptCount val="1"/>
                <c:pt idx="0">
                  <c:v>0.19947114020071632</c:v>
                </c:pt>
              </c:numCache>
            </c:numRef>
          </c:yVal>
        </c:ser>
        <c:ser>
          <c:idx val="3"/>
          <c:order val="3"/>
          <c:tx>
            <c:v>Unaffected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SerName val="1"/>
          </c:dLbls>
          <c:xVal>
            <c:numRef>
              <c:f>normplts!$I$7</c:f>
              <c:numCache>
                <c:formatCode>General</c:formatCode>
                <c:ptCount val="1"/>
                <c:pt idx="0">
                  <c:v>-4</c:v>
                </c:pt>
              </c:numCache>
            </c:numRef>
          </c:xVal>
          <c:yVal>
            <c:numRef>
              <c:f>normplts!$J$7</c:f>
              <c:numCache>
                <c:formatCode>General</c:formatCode>
                <c:ptCount val="1"/>
                <c:pt idx="0">
                  <c:v>0.19947114020071632</c:v>
                </c:pt>
              </c:numCache>
            </c:numRef>
          </c:yVal>
        </c:ser>
        <c:ser>
          <c:idx val="4"/>
          <c:order val="4"/>
          <c:tx>
            <c:v>line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normplts!$J$4:$J$5</c:f>
              <c:numCache>
                <c:formatCode>General</c:formatCode>
                <c:ptCount val="2"/>
                <c:pt idx="0">
                  <c:v>1.2815515655446004</c:v>
                </c:pt>
                <c:pt idx="1">
                  <c:v>1.2815515655446004</c:v>
                </c:pt>
              </c:numCache>
            </c:numRef>
          </c:xVal>
          <c:yVal>
            <c:numRef>
              <c:f>normplts!$K$4:$K$5</c:f>
              <c:numCache>
                <c:formatCode>General</c:formatCode>
                <c:ptCount val="2"/>
                <c:pt idx="0">
                  <c:v>0</c:v>
                </c:pt>
                <c:pt idx="1">
                  <c:v>0.47873073648171915</c:v>
                </c:pt>
              </c:numCache>
            </c:numRef>
          </c:yVal>
        </c:ser>
        <c:ser>
          <c:idx val="5"/>
          <c:order val="5"/>
          <c:tx>
            <c:strRef>
              <c:f>normplts!$H$4</c:f>
              <c:strCache>
                <c:ptCount val="1"/>
                <c:pt idx="0">
                  <c:v>FPR=10%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SerName val="1"/>
          </c:dLbls>
          <c:xVal>
            <c:numRef>
              <c:f>normplts!$J$5</c:f>
              <c:numCache>
                <c:formatCode>General</c:formatCode>
                <c:ptCount val="1"/>
                <c:pt idx="0">
                  <c:v>1.2815515655446004</c:v>
                </c:pt>
              </c:numCache>
            </c:numRef>
          </c:xVal>
          <c:yVal>
            <c:numRef>
              <c:f>normplts!$K$5</c:f>
              <c:numCache>
                <c:formatCode>General</c:formatCode>
                <c:ptCount val="1"/>
                <c:pt idx="0">
                  <c:v>0.47873073648171915</c:v>
                </c:pt>
              </c:numCache>
            </c:numRef>
          </c:yVal>
        </c:ser>
        <c:axId val="150446080"/>
        <c:axId val="150447616"/>
      </c:scatterChart>
      <c:valAx>
        <c:axId val="150446080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50447616"/>
        <c:crosses val="autoZero"/>
        <c:crossBetween val="midCat"/>
      </c:valAx>
      <c:valAx>
        <c:axId val="150447616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50446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2.1452179784479098E-2"/>
          <c:y val="2.0080400039219539E-2"/>
          <c:w val="0.95049658121999581"/>
          <c:h val="0.8152642415923127"/>
        </c:manualLayout>
      </c:layout>
      <c:scatterChart>
        <c:scatterStyle val="lineMarker"/>
        <c:ser>
          <c:idx val="0"/>
          <c:order val="0"/>
          <c:tx>
            <c:v>Unaffected graph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normpltsLR!$D$4:$D$163</c:f>
              <c:numCache>
                <c:formatCode>General</c:formatCode>
                <c:ptCount val="160"/>
                <c:pt idx="0">
                  <c:v>-4</c:v>
                </c:pt>
                <c:pt idx="1">
                  <c:v>-3.9</c:v>
                </c:pt>
                <c:pt idx="2">
                  <c:v>-3.85</c:v>
                </c:pt>
                <c:pt idx="3">
                  <c:v>-3.8000000000000003</c:v>
                </c:pt>
                <c:pt idx="4">
                  <c:v>-3.7500000000000004</c:v>
                </c:pt>
                <c:pt idx="5">
                  <c:v>-3.7000000000000006</c:v>
                </c:pt>
                <c:pt idx="6">
                  <c:v>-3.6500000000000008</c:v>
                </c:pt>
                <c:pt idx="7">
                  <c:v>-3.600000000000001</c:v>
                </c:pt>
                <c:pt idx="8">
                  <c:v>-3.5500000000000012</c:v>
                </c:pt>
                <c:pt idx="9">
                  <c:v>-3.5000000000000013</c:v>
                </c:pt>
                <c:pt idx="10">
                  <c:v>-3.4500000000000015</c:v>
                </c:pt>
                <c:pt idx="11">
                  <c:v>-3.4000000000000017</c:v>
                </c:pt>
                <c:pt idx="12">
                  <c:v>-3.3500000000000019</c:v>
                </c:pt>
                <c:pt idx="13">
                  <c:v>-3.300000000000002</c:v>
                </c:pt>
                <c:pt idx="14">
                  <c:v>-3.2500000000000022</c:v>
                </c:pt>
                <c:pt idx="15">
                  <c:v>-3.2000000000000024</c:v>
                </c:pt>
                <c:pt idx="16">
                  <c:v>-3.1500000000000026</c:v>
                </c:pt>
                <c:pt idx="17">
                  <c:v>-3.1000000000000028</c:v>
                </c:pt>
                <c:pt idx="18">
                  <c:v>-3.0500000000000029</c:v>
                </c:pt>
                <c:pt idx="19">
                  <c:v>-3.0000000000000031</c:v>
                </c:pt>
                <c:pt idx="20">
                  <c:v>-2.9500000000000033</c:v>
                </c:pt>
                <c:pt idx="21">
                  <c:v>-2.9000000000000035</c:v>
                </c:pt>
                <c:pt idx="22">
                  <c:v>-2.8500000000000036</c:v>
                </c:pt>
                <c:pt idx="23">
                  <c:v>-2.8000000000000038</c:v>
                </c:pt>
                <c:pt idx="24">
                  <c:v>-2.750000000000004</c:v>
                </c:pt>
                <c:pt idx="25">
                  <c:v>-2.7000000000000042</c:v>
                </c:pt>
                <c:pt idx="26">
                  <c:v>-2.6500000000000044</c:v>
                </c:pt>
                <c:pt idx="27">
                  <c:v>-2.6000000000000045</c:v>
                </c:pt>
                <c:pt idx="28">
                  <c:v>-2.5500000000000047</c:v>
                </c:pt>
                <c:pt idx="29">
                  <c:v>-2.5000000000000049</c:v>
                </c:pt>
                <c:pt idx="30">
                  <c:v>-2.4500000000000051</c:v>
                </c:pt>
                <c:pt idx="31">
                  <c:v>-2.4000000000000052</c:v>
                </c:pt>
                <c:pt idx="32">
                  <c:v>-2.3500000000000054</c:v>
                </c:pt>
                <c:pt idx="33">
                  <c:v>-2.3000000000000056</c:v>
                </c:pt>
                <c:pt idx="34">
                  <c:v>-2.2500000000000058</c:v>
                </c:pt>
                <c:pt idx="35">
                  <c:v>-2.200000000000006</c:v>
                </c:pt>
                <c:pt idx="36">
                  <c:v>-2.1500000000000061</c:v>
                </c:pt>
                <c:pt idx="37">
                  <c:v>-2.1000000000000063</c:v>
                </c:pt>
                <c:pt idx="38">
                  <c:v>-2.0500000000000065</c:v>
                </c:pt>
                <c:pt idx="39">
                  <c:v>-2.0000000000000067</c:v>
                </c:pt>
                <c:pt idx="40">
                  <c:v>-1.9500000000000066</c:v>
                </c:pt>
                <c:pt idx="41">
                  <c:v>-1.9000000000000066</c:v>
                </c:pt>
                <c:pt idx="42">
                  <c:v>-1.8500000000000065</c:v>
                </c:pt>
                <c:pt idx="43">
                  <c:v>-1.8000000000000065</c:v>
                </c:pt>
                <c:pt idx="44">
                  <c:v>-1.7500000000000064</c:v>
                </c:pt>
                <c:pt idx="45">
                  <c:v>-1.7000000000000064</c:v>
                </c:pt>
                <c:pt idx="46">
                  <c:v>-1.6500000000000064</c:v>
                </c:pt>
                <c:pt idx="47">
                  <c:v>-1.6000000000000063</c:v>
                </c:pt>
                <c:pt idx="48">
                  <c:v>-1.5500000000000063</c:v>
                </c:pt>
                <c:pt idx="49">
                  <c:v>-1.5000000000000062</c:v>
                </c:pt>
                <c:pt idx="50">
                  <c:v>-1.4500000000000062</c:v>
                </c:pt>
                <c:pt idx="51">
                  <c:v>-1.4000000000000061</c:v>
                </c:pt>
                <c:pt idx="52">
                  <c:v>-1.3500000000000061</c:v>
                </c:pt>
                <c:pt idx="53">
                  <c:v>-1.300000000000006</c:v>
                </c:pt>
                <c:pt idx="54">
                  <c:v>-1.250000000000006</c:v>
                </c:pt>
                <c:pt idx="55">
                  <c:v>-1.200000000000006</c:v>
                </c:pt>
                <c:pt idx="56">
                  <c:v>-1.1500000000000059</c:v>
                </c:pt>
                <c:pt idx="57">
                  <c:v>-1.1000000000000059</c:v>
                </c:pt>
                <c:pt idx="58">
                  <c:v>-1.0500000000000058</c:v>
                </c:pt>
                <c:pt idx="59">
                  <c:v>-1.0000000000000058</c:v>
                </c:pt>
                <c:pt idx="60">
                  <c:v>-0.95000000000000573</c:v>
                </c:pt>
                <c:pt idx="61">
                  <c:v>-0.90000000000000568</c:v>
                </c:pt>
                <c:pt idx="62">
                  <c:v>-0.85000000000000564</c:v>
                </c:pt>
                <c:pt idx="63">
                  <c:v>-0.8000000000000056</c:v>
                </c:pt>
                <c:pt idx="64">
                  <c:v>-0.75000000000000555</c:v>
                </c:pt>
                <c:pt idx="65">
                  <c:v>-0.70000000000000551</c:v>
                </c:pt>
                <c:pt idx="66">
                  <c:v>-0.65000000000000546</c:v>
                </c:pt>
                <c:pt idx="67">
                  <c:v>-0.60000000000000542</c:v>
                </c:pt>
                <c:pt idx="68">
                  <c:v>-0.55000000000000537</c:v>
                </c:pt>
                <c:pt idx="69">
                  <c:v>-0.50000000000000533</c:v>
                </c:pt>
                <c:pt idx="70">
                  <c:v>-0.45000000000000534</c:v>
                </c:pt>
                <c:pt idx="71">
                  <c:v>-0.40000000000000535</c:v>
                </c:pt>
                <c:pt idx="72">
                  <c:v>-0.35000000000000536</c:v>
                </c:pt>
                <c:pt idx="73">
                  <c:v>-0.30000000000000537</c:v>
                </c:pt>
                <c:pt idx="74">
                  <c:v>-0.25000000000000538</c:v>
                </c:pt>
                <c:pt idx="75">
                  <c:v>-0.2000000000000054</c:v>
                </c:pt>
                <c:pt idx="76">
                  <c:v>-0.15000000000000541</c:v>
                </c:pt>
                <c:pt idx="77">
                  <c:v>-0.1000000000000054</c:v>
                </c:pt>
                <c:pt idx="78">
                  <c:v>-5.0000000000005401E-2</c:v>
                </c:pt>
                <c:pt idx="79">
                  <c:v>-5.3984594572398237E-15</c:v>
                </c:pt>
                <c:pt idx="80">
                  <c:v>4.9999999999994604E-2</c:v>
                </c:pt>
                <c:pt idx="81">
                  <c:v>9.9999999999994607E-2</c:v>
                </c:pt>
                <c:pt idx="82">
                  <c:v>0.14999999999999461</c:v>
                </c:pt>
                <c:pt idx="83">
                  <c:v>0.19999999999999463</c:v>
                </c:pt>
                <c:pt idx="84">
                  <c:v>0.24999999999999462</c:v>
                </c:pt>
                <c:pt idx="85">
                  <c:v>0.2999999999999946</c:v>
                </c:pt>
                <c:pt idx="86">
                  <c:v>0.34999999999999459</c:v>
                </c:pt>
                <c:pt idx="87">
                  <c:v>0.39999999999999458</c:v>
                </c:pt>
                <c:pt idx="88">
                  <c:v>0.44999999999999457</c:v>
                </c:pt>
                <c:pt idx="89">
                  <c:v>0.49999999999999456</c:v>
                </c:pt>
                <c:pt idx="90">
                  <c:v>0.5499999999999946</c:v>
                </c:pt>
                <c:pt idx="91">
                  <c:v>0.59999999999999465</c:v>
                </c:pt>
                <c:pt idx="92">
                  <c:v>0.64999999999999469</c:v>
                </c:pt>
                <c:pt idx="93">
                  <c:v>0.69999999999999474</c:v>
                </c:pt>
                <c:pt idx="94">
                  <c:v>0.74999999999999478</c:v>
                </c:pt>
                <c:pt idx="95">
                  <c:v>0.79999999999999483</c:v>
                </c:pt>
                <c:pt idx="96">
                  <c:v>0.84999999999999487</c:v>
                </c:pt>
                <c:pt idx="97">
                  <c:v>0.89999999999999492</c:v>
                </c:pt>
                <c:pt idx="98">
                  <c:v>0.94999999999999496</c:v>
                </c:pt>
                <c:pt idx="99">
                  <c:v>0.999999999999995</c:v>
                </c:pt>
                <c:pt idx="100">
                  <c:v>1.0499999999999949</c:v>
                </c:pt>
                <c:pt idx="101">
                  <c:v>1.099999999999995</c:v>
                </c:pt>
                <c:pt idx="102">
                  <c:v>1.149999999999995</c:v>
                </c:pt>
                <c:pt idx="103">
                  <c:v>1.1999999999999951</c:v>
                </c:pt>
                <c:pt idx="104">
                  <c:v>1.2499999999999951</c:v>
                </c:pt>
                <c:pt idx="105">
                  <c:v>1.2999999999999952</c:v>
                </c:pt>
                <c:pt idx="106">
                  <c:v>1.3499999999999952</c:v>
                </c:pt>
                <c:pt idx="107">
                  <c:v>1.3999999999999952</c:v>
                </c:pt>
                <c:pt idx="108">
                  <c:v>1.4499999999999953</c:v>
                </c:pt>
                <c:pt idx="109">
                  <c:v>1.4999999999999953</c:v>
                </c:pt>
                <c:pt idx="110">
                  <c:v>1.5499999999999954</c:v>
                </c:pt>
                <c:pt idx="111">
                  <c:v>1.5999999999999954</c:v>
                </c:pt>
                <c:pt idx="112">
                  <c:v>1.6499999999999955</c:v>
                </c:pt>
                <c:pt idx="113">
                  <c:v>1.6999999999999955</c:v>
                </c:pt>
                <c:pt idx="114">
                  <c:v>1.7499999999999956</c:v>
                </c:pt>
                <c:pt idx="115">
                  <c:v>1.7999999999999956</c:v>
                </c:pt>
                <c:pt idx="116">
                  <c:v>1.8499999999999956</c:v>
                </c:pt>
                <c:pt idx="117">
                  <c:v>1.8999999999999957</c:v>
                </c:pt>
                <c:pt idx="118">
                  <c:v>1.9499999999999957</c:v>
                </c:pt>
                <c:pt idx="119">
                  <c:v>1.9999999999999958</c:v>
                </c:pt>
                <c:pt idx="120">
                  <c:v>2.0499999999999958</c:v>
                </c:pt>
                <c:pt idx="121">
                  <c:v>2.0999999999999956</c:v>
                </c:pt>
                <c:pt idx="122">
                  <c:v>2.1499999999999955</c:v>
                </c:pt>
                <c:pt idx="123">
                  <c:v>2.1999999999999953</c:v>
                </c:pt>
                <c:pt idx="124">
                  <c:v>2.2499999999999951</c:v>
                </c:pt>
                <c:pt idx="125">
                  <c:v>2.2999999999999949</c:v>
                </c:pt>
                <c:pt idx="126">
                  <c:v>2.3499999999999948</c:v>
                </c:pt>
                <c:pt idx="127">
                  <c:v>2.3999999999999946</c:v>
                </c:pt>
                <c:pt idx="128">
                  <c:v>2.4499999999999944</c:v>
                </c:pt>
                <c:pt idx="129">
                  <c:v>2.4999999999999942</c:v>
                </c:pt>
                <c:pt idx="130">
                  <c:v>2.549999999999994</c:v>
                </c:pt>
                <c:pt idx="131">
                  <c:v>2.5999999999999939</c:v>
                </c:pt>
                <c:pt idx="132">
                  <c:v>2.6499999999999937</c:v>
                </c:pt>
                <c:pt idx="133">
                  <c:v>2.6999999999999935</c:v>
                </c:pt>
                <c:pt idx="134">
                  <c:v>2.7499999999999933</c:v>
                </c:pt>
                <c:pt idx="135">
                  <c:v>2.7999999999999932</c:v>
                </c:pt>
                <c:pt idx="136">
                  <c:v>2.849999999999993</c:v>
                </c:pt>
                <c:pt idx="137">
                  <c:v>2.8999999999999928</c:v>
                </c:pt>
                <c:pt idx="138">
                  <c:v>2.9499999999999926</c:v>
                </c:pt>
                <c:pt idx="139">
                  <c:v>2.9999999999999925</c:v>
                </c:pt>
                <c:pt idx="140">
                  <c:v>3.0499999999999923</c:v>
                </c:pt>
                <c:pt idx="141">
                  <c:v>3.0999999999999921</c:v>
                </c:pt>
                <c:pt idx="142">
                  <c:v>3.1499999999999919</c:v>
                </c:pt>
                <c:pt idx="143">
                  <c:v>3.1999999999999917</c:v>
                </c:pt>
                <c:pt idx="144">
                  <c:v>3.2499999999999916</c:v>
                </c:pt>
                <c:pt idx="145">
                  <c:v>3.2999999999999914</c:v>
                </c:pt>
                <c:pt idx="146">
                  <c:v>3.3499999999999912</c:v>
                </c:pt>
                <c:pt idx="147">
                  <c:v>3.399999999999991</c:v>
                </c:pt>
                <c:pt idx="148">
                  <c:v>3.4499999999999909</c:v>
                </c:pt>
                <c:pt idx="149">
                  <c:v>3.4999999999999907</c:v>
                </c:pt>
                <c:pt idx="150">
                  <c:v>3.5499999999999905</c:v>
                </c:pt>
                <c:pt idx="151">
                  <c:v>3.5999999999999903</c:v>
                </c:pt>
                <c:pt idx="152">
                  <c:v>3.6499999999999901</c:v>
                </c:pt>
                <c:pt idx="153">
                  <c:v>3.69999999999999</c:v>
                </c:pt>
                <c:pt idx="154">
                  <c:v>3.7499999999999898</c:v>
                </c:pt>
                <c:pt idx="155">
                  <c:v>3.7999999999999896</c:v>
                </c:pt>
                <c:pt idx="156">
                  <c:v>3.8499999999999894</c:v>
                </c:pt>
                <c:pt idx="157">
                  <c:v>3.8999999999999893</c:v>
                </c:pt>
                <c:pt idx="158">
                  <c:v>3.9499999999999891</c:v>
                </c:pt>
                <c:pt idx="159">
                  <c:v>3.9999999999999889</c:v>
                </c:pt>
              </c:numCache>
            </c:numRef>
          </c:xVal>
          <c:yVal>
            <c:numRef>
              <c:f>normpltsLR!$E$4:$E$163</c:f>
              <c:numCache>
                <c:formatCode>General</c:formatCode>
                <c:ptCount val="160"/>
                <c:pt idx="0">
                  <c:v>1.3383022576488534E-4</c:v>
                </c:pt>
                <c:pt idx="1">
                  <c:v>1.9865547139277269E-4</c:v>
                </c:pt>
                <c:pt idx="2">
                  <c:v>2.4112658022599321E-4</c:v>
                </c:pt>
                <c:pt idx="3">
                  <c:v>2.9194692579146E-4</c:v>
                </c:pt>
                <c:pt idx="4">
                  <c:v>3.525956823674447E-4</c:v>
                </c:pt>
                <c:pt idx="5">
                  <c:v>4.2478027055075062E-4</c:v>
                </c:pt>
                <c:pt idx="6">
                  <c:v>5.1046497434418408E-4</c:v>
                </c:pt>
                <c:pt idx="7">
                  <c:v>6.1190193011377016E-4</c:v>
                </c:pt>
                <c:pt idx="8">
                  <c:v>7.3166446283030753E-4</c:v>
                </c:pt>
                <c:pt idx="9">
                  <c:v>8.7268269504575614E-4</c:v>
                </c:pt>
                <c:pt idx="10">
                  <c:v>1.0382812956614056E-3</c:v>
                </c:pt>
                <c:pt idx="11">
                  <c:v>1.2322191684730119E-3</c:v>
                </c:pt>
                <c:pt idx="12">
                  <c:v>1.4587308046667368E-3</c:v>
                </c:pt>
                <c:pt idx="13">
                  <c:v>1.7225689390536689E-3</c:v>
                </c:pt>
                <c:pt idx="14">
                  <c:v>2.0290480572997534E-3</c:v>
                </c:pt>
                <c:pt idx="15">
                  <c:v>2.384088201464823E-3</c:v>
                </c:pt>
                <c:pt idx="16">
                  <c:v>2.7942584148794246E-3</c:v>
                </c:pt>
                <c:pt idx="17">
                  <c:v>3.2668190561998922E-3</c:v>
                </c:pt>
                <c:pt idx="18">
                  <c:v>3.8097620982217727E-3</c:v>
                </c:pt>
                <c:pt idx="19">
                  <c:v>4.4318484119379676E-3</c:v>
                </c:pt>
                <c:pt idx="20">
                  <c:v>5.1426409230538881E-3</c:v>
                </c:pt>
                <c:pt idx="21">
                  <c:v>5.9525324197757948E-3</c:v>
                </c:pt>
                <c:pt idx="22">
                  <c:v>6.8727666906139035E-3</c:v>
                </c:pt>
                <c:pt idx="23">
                  <c:v>7.9154515829798783E-3</c:v>
                </c:pt>
                <c:pt idx="24">
                  <c:v>9.0935625015909523E-3</c:v>
                </c:pt>
                <c:pt idx="25">
                  <c:v>1.0420934814422479E-2</c:v>
                </c:pt>
                <c:pt idx="26">
                  <c:v>1.191224360760504E-2</c:v>
                </c:pt>
                <c:pt idx="27">
                  <c:v>1.3582969233685453E-2</c:v>
                </c:pt>
                <c:pt idx="28">
                  <c:v>1.544934713439498E-2</c:v>
                </c:pt>
                <c:pt idx="29">
                  <c:v>1.7528300493568318E-2</c:v>
                </c:pt>
                <c:pt idx="30">
                  <c:v>1.9837354391795081E-2</c:v>
                </c:pt>
                <c:pt idx="31">
                  <c:v>2.2394530294842608E-2</c:v>
                </c:pt>
                <c:pt idx="32">
                  <c:v>2.5218219915194063E-2</c:v>
                </c:pt>
                <c:pt idx="33">
                  <c:v>2.8327037741600808E-2</c:v>
                </c:pt>
                <c:pt idx="34">
                  <c:v>3.1739651835667008E-2</c:v>
                </c:pt>
                <c:pt idx="35">
                  <c:v>3.547459284623096E-2</c:v>
                </c:pt>
                <c:pt idx="36">
                  <c:v>3.9550041589369693E-2</c:v>
                </c:pt>
                <c:pt idx="37">
                  <c:v>4.3983595980426601E-2</c:v>
                </c:pt>
                <c:pt idx="38">
                  <c:v>4.8792018579182105E-2</c:v>
                </c:pt>
                <c:pt idx="39">
                  <c:v>5.3990966513187334E-2</c:v>
                </c:pt>
                <c:pt idx="40">
                  <c:v>5.9594706068815291E-2</c:v>
                </c:pt>
                <c:pt idx="41">
                  <c:v>6.5615814774675763E-2</c:v>
                </c:pt>
                <c:pt idx="42">
                  <c:v>7.2064874336217111E-2</c:v>
                </c:pt>
                <c:pt idx="43">
                  <c:v>7.8950158300893233E-2</c:v>
                </c:pt>
                <c:pt idx="44">
                  <c:v>8.6277318826510532E-2</c:v>
                </c:pt>
                <c:pt idx="45">
                  <c:v>9.4049077376885878E-2</c:v>
                </c:pt>
                <c:pt idx="46">
                  <c:v>0.10226492456397691</c:v>
                </c:pt>
                <c:pt idx="47">
                  <c:v>0.11092083467945445</c:v>
                </c:pt>
                <c:pt idx="48">
                  <c:v>0.12000900069698442</c:v>
                </c:pt>
                <c:pt idx="49">
                  <c:v>0.12951759566589049</c:v>
                </c:pt>
                <c:pt idx="50">
                  <c:v>0.13943056644535901</c:v>
                </c:pt>
                <c:pt idx="51">
                  <c:v>0.14972746563574357</c:v>
                </c:pt>
                <c:pt idx="52">
                  <c:v>0.16038332734191826</c:v>
                </c:pt>
                <c:pt idx="53">
                  <c:v>0.171368592047806</c:v>
                </c:pt>
                <c:pt idx="54">
                  <c:v>0.18264908538902053</c:v>
                </c:pt>
                <c:pt idx="55">
                  <c:v>0.19418605498321151</c:v>
                </c:pt>
                <c:pt idx="56">
                  <c:v>0.20593626871997334</c:v>
                </c:pt>
                <c:pt idx="57">
                  <c:v>0.21785217703254914</c:v>
                </c:pt>
                <c:pt idx="58">
                  <c:v>0.2298821406842316</c:v>
                </c:pt>
                <c:pt idx="59">
                  <c:v>0.24197072451914192</c:v>
                </c:pt>
                <c:pt idx="60">
                  <c:v>0.25405905646918758</c:v>
                </c:pt>
                <c:pt idx="61">
                  <c:v>0.26608524989875343</c:v>
                </c:pt>
                <c:pt idx="62">
                  <c:v>0.27798488613099509</c:v>
                </c:pt>
                <c:pt idx="63">
                  <c:v>0.2896915527614814</c:v>
                </c:pt>
                <c:pt idx="64">
                  <c:v>0.30113743215480315</c:v>
                </c:pt>
                <c:pt idx="65">
                  <c:v>0.31225393336676005</c:v>
                </c:pt>
                <c:pt idx="66">
                  <c:v>0.3229723596679131</c:v>
                </c:pt>
                <c:pt idx="67">
                  <c:v>0.33322460289179856</c:v>
                </c:pt>
                <c:pt idx="68">
                  <c:v>0.34294385501938285</c:v>
                </c:pt>
                <c:pt idx="69">
                  <c:v>0.35206532676429853</c:v>
                </c:pt>
                <c:pt idx="70">
                  <c:v>0.36052696246164706</c:v>
                </c:pt>
                <c:pt idx="71">
                  <c:v>0.36827014030332245</c:v>
                </c:pt>
                <c:pt idx="72">
                  <c:v>0.37524034691693714</c:v>
                </c:pt>
                <c:pt idx="73">
                  <c:v>0.38138781546052347</c:v>
                </c:pt>
                <c:pt idx="74">
                  <c:v>0.38666811680284868</c:v>
                </c:pt>
                <c:pt idx="75">
                  <c:v>0.39104269397545544</c:v>
                </c:pt>
                <c:pt idx="76">
                  <c:v>0.3944793309078885</c:v>
                </c:pt>
                <c:pt idx="77">
                  <c:v>0.39695254747701153</c:v>
                </c:pt>
                <c:pt idx="78">
                  <c:v>0.39844391409476387</c:v>
                </c:pt>
                <c:pt idx="79">
                  <c:v>0.39894228040143265</c:v>
                </c:pt>
                <c:pt idx="80">
                  <c:v>0.3984439140947641</c:v>
                </c:pt>
                <c:pt idx="81">
                  <c:v>0.39695254747701197</c:v>
                </c:pt>
                <c:pt idx="82">
                  <c:v>0.39447933090788917</c:v>
                </c:pt>
                <c:pt idx="83">
                  <c:v>0.39104269397545627</c:v>
                </c:pt>
                <c:pt idx="84">
                  <c:v>0.38666811680284968</c:v>
                </c:pt>
                <c:pt idx="85">
                  <c:v>0.38138781546052464</c:v>
                </c:pt>
                <c:pt idx="86">
                  <c:v>0.37524034691693858</c:v>
                </c:pt>
                <c:pt idx="87">
                  <c:v>0.36827014030332406</c:v>
                </c:pt>
                <c:pt idx="88">
                  <c:v>0.36052696246164878</c:v>
                </c:pt>
                <c:pt idx="89">
                  <c:v>0.35206532676430041</c:v>
                </c:pt>
                <c:pt idx="90">
                  <c:v>0.3429438550193849</c:v>
                </c:pt>
                <c:pt idx="91">
                  <c:v>0.33322460289180067</c:v>
                </c:pt>
                <c:pt idx="92">
                  <c:v>0.32297235966791538</c:v>
                </c:pt>
                <c:pt idx="93">
                  <c:v>0.31225393336676238</c:v>
                </c:pt>
                <c:pt idx="94">
                  <c:v>0.30113743215480554</c:v>
                </c:pt>
                <c:pt idx="95">
                  <c:v>0.28969155276148389</c:v>
                </c:pt>
                <c:pt idx="96">
                  <c:v>0.27798488613099764</c:v>
                </c:pt>
                <c:pt idx="97">
                  <c:v>0.26608524989875604</c:v>
                </c:pt>
                <c:pt idx="98">
                  <c:v>0.25405905646919019</c:v>
                </c:pt>
                <c:pt idx="99">
                  <c:v>0.24197072451914453</c:v>
                </c:pt>
                <c:pt idx="100">
                  <c:v>0.22988214068423421</c:v>
                </c:pt>
                <c:pt idx="101">
                  <c:v>0.21785217703255175</c:v>
                </c:pt>
                <c:pt idx="102">
                  <c:v>0.20593626871997592</c:v>
                </c:pt>
                <c:pt idx="103">
                  <c:v>0.19418605498321406</c:v>
                </c:pt>
                <c:pt idx="104">
                  <c:v>0.182649085389023</c:v>
                </c:pt>
                <c:pt idx="105">
                  <c:v>0.17136859204780841</c:v>
                </c:pt>
                <c:pt idx="106">
                  <c:v>0.16038332734192062</c:v>
                </c:pt>
                <c:pt idx="107">
                  <c:v>0.14972746563574585</c:v>
                </c:pt>
                <c:pt idx="108">
                  <c:v>0.1394305664453612</c:v>
                </c:pt>
                <c:pt idx="109">
                  <c:v>0.12951759566589263</c:v>
                </c:pt>
                <c:pt idx="110">
                  <c:v>0.12000900069698645</c:v>
                </c:pt>
                <c:pt idx="111">
                  <c:v>0.11092083467945635</c:v>
                </c:pt>
                <c:pt idx="112">
                  <c:v>0.10226492456397877</c:v>
                </c:pt>
                <c:pt idx="113">
                  <c:v>9.4049077376887641E-2</c:v>
                </c:pt>
                <c:pt idx="114">
                  <c:v>8.6277318826512184E-2</c:v>
                </c:pt>
                <c:pt idx="115">
                  <c:v>7.8950158300894774E-2</c:v>
                </c:pt>
                <c:pt idx="116">
                  <c:v>7.2064874336218568E-2</c:v>
                </c:pt>
                <c:pt idx="117">
                  <c:v>6.5615814774677136E-2</c:v>
                </c:pt>
                <c:pt idx="118">
                  <c:v>5.9594706068816568E-2</c:v>
                </c:pt>
                <c:pt idx="119">
                  <c:v>5.3990966513188507E-2</c:v>
                </c:pt>
                <c:pt idx="120">
                  <c:v>4.8792018579183173E-2</c:v>
                </c:pt>
                <c:pt idx="121">
                  <c:v>4.3983595980427594E-2</c:v>
                </c:pt>
                <c:pt idx="122">
                  <c:v>3.9550041589370588E-2</c:v>
                </c:pt>
                <c:pt idx="123">
                  <c:v>3.5474592846231792E-2</c:v>
                </c:pt>
                <c:pt idx="124">
                  <c:v>3.1739651835667765E-2</c:v>
                </c:pt>
                <c:pt idx="125">
                  <c:v>2.8327037741601498E-2</c:v>
                </c:pt>
                <c:pt idx="126">
                  <c:v>2.5218219915194701E-2</c:v>
                </c:pt>
                <c:pt idx="127">
                  <c:v>2.2394530294843187E-2</c:v>
                </c:pt>
                <c:pt idx="128">
                  <c:v>1.9837354391795591E-2</c:v>
                </c:pt>
                <c:pt idx="129">
                  <c:v>1.7528300493568787E-2</c:v>
                </c:pt>
                <c:pt idx="130">
                  <c:v>1.5449347134395407E-2</c:v>
                </c:pt>
                <c:pt idx="131">
                  <c:v>1.3582969233685837E-2</c:v>
                </c:pt>
                <c:pt idx="132">
                  <c:v>1.1912243607605379E-2</c:v>
                </c:pt>
                <c:pt idx="133">
                  <c:v>1.0420934814422775E-2</c:v>
                </c:pt>
                <c:pt idx="134">
                  <c:v>9.0935625015912177E-3</c:v>
                </c:pt>
                <c:pt idx="135">
                  <c:v>7.9154515829801143E-3</c:v>
                </c:pt>
                <c:pt idx="136">
                  <c:v>6.8727666906141108E-3</c:v>
                </c:pt>
                <c:pt idx="137">
                  <c:v>5.9525324197759796E-3</c:v>
                </c:pt>
                <c:pt idx="138">
                  <c:v>5.1426409230540529E-3</c:v>
                </c:pt>
                <c:pt idx="139">
                  <c:v>4.431848411938109E-3</c:v>
                </c:pt>
                <c:pt idx="140">
                  <c:v>3.809762098221898E-3</c:v>
                </c:pt>
                <c:pt idx="141">
                  <c:v>3.2668190561999997E-3</c:v>
                </c:pt>
                <c:pt idx="142">
                  <c:v>2.7942584148795161E-3</c:v>
                </c:pt>
                <c:pt idx="143">
                  <c:v>2.3840882014649059E-3</c:v>
                </c:pt>
                <c:pt idx="144">
                  <c:v>2.0290480572998236E-3</c:v>
                </c:pt>
                <c:pt idx="145">
                  <c:v>1.7225689390537287E-3</c:v>
                </c:pt>
                <c:pt idx="146">
                  <c:v>1.4587308046667884E-3</c:v>
                </c:pt>
                <c:pt idx="147">
                  <c:v>1.232219168473057E-3</c:v>
                </c:pt>
                <c:pt idx="148">
                  <c:v>1.0382812956614435E-3</c:v>
                </c:pt>
                <c:pt idx="149">
                  <c:v>8.7268269504578867E-4</c:v>
                </c:pt>
                <c:pt idx="150">
                  <c:v>7.3166446283033551E-4</c:v>
                </c:pt>
                <c:pt idx="151">
                  <c:v>6.1190193011379358E-4</c:v>
                </c:pt>
                <c:pt idx="152">
                  <c:v>5.104649743442037E-4</c:v>
                </c:pt>
                <c:pt idx="153">
                  <c:v>4.2478027055076764E-4</c:v>
                </c:pt>
                <c:pt idx="154">
                  <c:v>3.5259568236745885E-4</c:v>
                </c:pt>
                <c:pt idx="155">
                  <c:v>2.919469257914716E-4</c:v>
                </c:pt>
                <c:pt idx="156">
                  <c:v>2.4112658022600329E-4</c:v>
                </c:pt>
                <c:pt idx="157">
                  <c:v>1.9865547139278098E-4</c:v>
                </c:pt>
                <c:pt idx="158">
                  <c:v>1.6325640876624909E-4</c:v>
                </c:pt>
                <c:pt idx="159">
                  <c:v>1.338302257648913E-4</c:v>
                </c:pt>
              </c:numCache>
            </c:numRef>
          </c:yVal>
        </c:ser>
        <c:ser>
          <c:idx val="1"/>
          <c:order val="1"/>
          <c:tx>
            <c:strRef>
              <c:f>normpltsLR!$H$8</c:f>
              <c:strCache>
                <c:ptCount val="1"/>
                <c:pt idx="0">
                  <c:v>Affected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normpltsLR!$B$4:$B$163</c:f>
              <c:numCache>
                <c:formatCode>General</c:formatCode>
                <c:ptCount val="160"/>
                <c:pt idx="0">
                  <c:v>-3.5769021409476132</c:v>
                </c:pt>
                <c:pt idx="1">
                  <c:v>-3.4769021409476135</c:v>
                </c:pt>
                <c:pt idx="2">
                  <c:v>-3.4269021409476137</c:v>
                </c:pt>
                <c:pt idx="3">
                  <c:v>-3.3769021409476139</c:v>
                </c:pt>
                <c:pt idx="4">
                  <c:v>-3.3269021409476141</c:v>
                </c:pt>
                <c:pt idx="5">
                  <c:v>-3.2769021409476142</c:v>
                </c:pt>
                <c:pt idx="6">
                  <c:v>-3.2269021409476144</c:v>
                </c:pt>
                <c:pt idx="7">
                  <c:v>-3.1769021409476146</c:v>
                </c:pt>
                <c:pt idx="8">
                  <c:v>-3.1269021409476148</c:v>
                </c:pt>
                <c:pt idx="9">
                  <c:v>-3.0769021409476149</c:v>
                </c:pt>
                <c:pt idx="10">
                  <c:v>-3.0269021409476151</c:v>
                </c:pt>
                <c:pt idx="11">
                  <c:v>-2.9769021409476153</c:v>
                </c:pt>
                <c:pt idx="12">
                  <c:v>-2.9269021409476155</c:v>
                </c:pt>
                <c:pt idx="13">
                  <c:v>-2.8769021409476156</c:v>
                </c:pt>
                <c:pt idx="14">
                  <c:v>-2.8269021409476158</c:v>
                </c:pt>
                <c:pt idx="15">
                  <c:v>-2.776902140947616</c:v>
                </c:pt>
                <c:pt idx="16">
                  <c:v>-2.7269021409476162</c:v>
                </c:pt>
                <c:pt idx="17">
                  <c:v>-2.6769021409476164</c:v>
                </c:pt>
                <c:pt idx="18">
                  <c:v>-2.6269021409476165</c:v>
                </c:pt>
                <c:pt idx="19">
                  <c:v>-2.5769021409476167</c:v>
                </c:pt>
                <c:pt idx="20">
                  <c:v>-2.5269021409476169</c:v>
                </c:pt>
                <c:pt idx="21">
                  <c:v>-2.4769021409476171</c:v>
                </c:pt>
                <c:pt idx="22">
                  <c:v>-2.4269021409476172</c:v>
                </c:pt>
                <c:pt idx="23">
                  <c:v>-2.3769021409476174</c:v>
                </c:pt>
                <c:pt idx="24">
                  <c:v>-2.3269021409476176</c:v>
                </c:pt>
                <c:pt idx="25">
                  <c:v>-2.2769021409476178</c:v>
                </c:pt>
                <c:pt idx="26">
                  <c:v>-2.226902140947618</c:v>
                </c:pt>
                <c:pt idx="27">
                  <c:v>-2.1769021409476181</c:v>
                </c:pt>
                <c:pt idx="28">
                  <c:v>-2.1269021409476183</c:v>
                </c:pt>
                <c:pt idx="29">
                  <c:v>-2.0769021409476185</c:v>
                </c:pt>
                <c:pt idx="30">
                  <c:v>-2.0269021409476187</c:v>
                </c:pt>
                <c:pt idx="31">
                  <c:v>-1.9769021409476186</c:v>
                </c:pt>
                <c:pt idx="32">
                  <c:v>-1.9269021409476188</c:v>
                </c:pt>
                <c:pt idx="33">
                  <c:v>-1.876902140947619</c:v>
                </c:pt>
                <c:pt idx="34">
                  <c:v>-1.8269021409476192</c:v>
                </c:pt>
                <c:pt idx="35">
                  <c:v>-1.7769021409476193</c:v>
                </c:pt>
                <c:pt idx="36">
                  <c:v>-1.7269021409476195</c:v>
                </c:pt>
                <c:pt idx="37">
                  <c:v>-1.6769021409476197</c:v>
                </c:pt>
                <c:pt idx="38">
                  <c:v>-1.6269021409476199</c:v>
                </c:pt>
                <c:pt idx="39">
                  <c:v>-1.57690214094762</c:v>
                </c:pt>
                <c:pt idx="40">
                  <c:v>-1.52690214094762</c:v>
                </c:pt>
                <c:pt idx="41">
                  <c:v>-1.47690214094762</c:v>
                </c:pt>
                <c:pt idx="42">
                  <c:v>-1.4269021409476199</c:v>
                </c:pt>
                <c:pt idx="43">
                  <c:v>-1.3769021409476199</c:v>
                </c:pt>
                <c:pt idx="44">
                  <c:v>-1.3269021409476198</c:v>
                </c:pt>
                <c:pt idx="45">
                  <c:v>-1.2769021409476198</c:v>
                </c:pt>
                <c:pt idx="46">
                  <c:v>-1.2269021409476197</c:v>
                </c:pt>
                <c:pt idx="47">
                  <c:v>-1.1769021409476197</c:v>
                </c:pt>
                <c:pt idx="48">
                  <c:v>-1.1269021409476196</c:v>
                </c:pt>
                <c:pt idx="49">
                  <c:v>-1.0769021409476196</c:v>
                </c:pt>
                <c:pt idx="50">
                  <c:v>-1.0269021409476196</c:v>
                </c:pt>
                <c:pt idx="51">
                  <c:v>-0.97690214094761951</c:v>
                </c:pt>
                <c:pt idx="52">
                  <c:v>-0.92690214094761947</c:v>
                </c:pt>
                <c:pt idx="53">
                  <c:v>-0.87690214094761942</c:v>
                </c:pt>
                <c:pt idx="54">
                  <c:v>-0.82690214094761938</c:v>
                </c:pt>
                <c:pt idx="55">
                  <c:v>-0.77690214094761934</c:v>
                </c:pt>
                <c:pt idx="56">
                  <c:v>-0.72690214094761929</c:v>
                </c:pt>
                <c:pt idx="57">
                  <c:v>-0.67690214094761925</c:v>
                </c:pt>
                <c:pt idx="58">
                  <c:v>-0.6269021409476192</c:v>
                </c:pt>
                <c:pt idx="59">
                  <c:v>-0.57690214094761916</c:v>
                </c:pt>
                <c:pt idx="60">
                  <c:v>-0.52690214094761911</c:v>
                </c:pt>
                <c:pt idx="61">
                  <c:v>-0.47690214094761907</c:v>
                </c:pt>
                <c:pt idx="62">
                  <c:v>-0.42690214094761902</c:v>
                </c:pt>
                <c:pt idx="63">
                  <c:v>-0.37690214094761898</c:v>
                </c:pt>
                <c:pt idx="64">
                  <c:v>-0.32690214094761894</c:v>
                </c:pt>
                <c:pt idx="65">
                  <c:v>-0.27690214094761889</c:v>
                </c:pt>
                <c:pt idx="66">
                  <c:v>-0.22690214094761885</c:v>
                </c:pt>
                <c:pt idx="67">
                  <c:v>-0.1769021409476188</c:v>
                </c:pt>
                <c:pt idx="68">
                  <c:v>-0.12690214094761876</c:v>
                </c:pt>
                <c:pt idx="69">
                  <c:v>-7.6902140947618713E-2</c:v>
                </c:pt>
                <c:pt idx="70">
                  <c:v>-2.6902140947618725E-2</c:v>
                </c:pt>
                <c:pt idx="71">
                  <c:v>2.3097859052381264E-2</c:v>
                </c:pt>
                <c:pt idx="72">
                  <c:v>7.3097859052381253E-2</c:v>
                </c:pt>
                <c:pt idx="73">
                  <c:v>0.12309785905238124</c:v>
                </c:pt>
                <c:pt idx="74">
                  <c:v>0.17309785905238123</c:v>
                </c:pt>
                <c:pt idx="75">
                  <c:v>0.22309785905238122</c:v>
                </c:pt>
                <c:pt idx="76">
                  <c:v>0.27309785905238121</c:v>
                </c:pt>
                <c:pt idx="77">
                  <c:v>0.3230978590523812</c:v>
                </c:pt>
                <c:pt idx="78">
                  <c:v>0.37309785905238124</c:v>
                </c:pt>
                <c:pt idx="79">
                  <c:v>0.42309785905238123</c:v>
                </c:pt>
                <c:pt idx="80">
                  <c:v>0.47309785905238122</c:v>
                </c:pt>
                <c:pt idx="81">
                  <c:v>0.52309785905238126</c:v>
                </c:pt>
                <c:pt idx="82">
                  <c:v>0.5730978590523812</c:v>
                </c:pt>
                <c:pt idx="83">
                  <c:v>0.62309785905238124</c:v>
                </c:pt>
                <c:pt idx="84">
                  <c:v>0.67309785905238129</c:v>
                </c:pt>
                <c:pt idx="85">
                  <c:v>0.72309785905238122</c:v>
                </c:pt>
                <c:pt idx="86">
                  <c:v>0.77309785905238115</c:v>
                </c:pt>
                <c:pt idx="87">
                  <c:v>0.8230978590523812</c:v>
                </c:pt>
                <c:pt idx="88">
                  <c:v>0.87309785905238124</c:v>
                </c:pt>
                <c:pt idx="89">
                  <c:v>0.92309785905238118</c:v>
                </c:pt>
                <c:pt idx="90">
                  <c:v>0.97309785905238122</c:v>
                </c:pt>
                <c:pt idx="91">
                  <c:v>1.0230978590523812</c:v>
                </c:pt>
                <c:pt idx="92">
                  <c:v>1.0730978590523814</c:v>
                </c:pt>
                <c:pt idx="93">
                  <c:v>1.1230978590523812</c:v>
                </c:pt>
                <c:pt idx="94">
                  <c:v>1.1730978590523815</c:v>
                </c:pt>
                <c:pt idx="95">
                  <c:v>1.2230978590523813</c:v>
                </c:pt>
                <c:pt idx="96">
                  <c:v>1.2730978590523816</c:v>
                </c:pt>
                <c:pt idx="97">
                  <c:v>1.3230978590523814</c:v>
                </c:pt>
                <c:pt idx="98">
                  <c:v>1.3730978590523817</c:v>
                </c:pt>
                <c:pt idx="99">
                  <c:v>1.4230978590523815</c:v>
                </c:pt>
                <c:pt idx="100">
                  <c:v>1.4730978590523816</c:v>
                </c:pt>
                <c:pt idx="101">
                  <c:v>1.5230978590523816</c:v>
                </c:pt>
                <c:pt idx="102">
                  <c:v>1.5730978590523816</c:v>
                </c:pt>
                <c:pt idx="103">
                  <c:v>1.6230978590523817</c:v>
                </c:pt>
                <c:pt idx="104">
                  <c:v>1.6730978590523817</c:v>
                </c:pt>
                <c:pt idx="105">
                  <c:v>1.7230978590523818</c:v>
                </c:pt>
                <c:pt idx="106">
                  <c:v>1.7730978590523818</c:v>
                </c:pt>
                <c:pt idx="107">
                  <c:v>1.8230978590523819</c:v>
                </c:pt>
                <c:pt idx="108">
                  <c:v>1.8730978590523819</c:v>
                </c:pt>
                <c:pt idx="109">
                  <c:v>1.923097859052382</c:v>
                </c:pt>
                <c:pt idx="110">
                  <c:v>1.973097859052382</c:v>
                </c:pt>
                <c:pt idx="111">
                  <c:v>2.023097859052382</c:v>
                </c:pt>
                <c:pt idx="112">
                  <c:v>2.0730978590523819</c:v>
                </c:pt>
                <c:pt idx="113">
                  <c:v>2.1230978590523821</c:v>
                </c:pt>
                <c:pt idx="114">
                  <c:v>2.1730978590523824</c:v>
                </c:pt>
                <c:pt idx="115">
                  <c:v>2.2230978590523822</c:v>
                </c:pt>
                <c:pt idx="116">
                  <c:v>2.273097859052382</c:v>
                </c:pt>
                <c:pt idx="117">
                  <c:v>2.3230978590523823</c:v>
                </c:pt>
                <c:pt idx="118">
                  <c:v>2.3730978590523826</c:v>
                </c:pt>
                <c:pt idx="119">
                  <c:v>2.4230978590523824</c:v>
                </c:pt>
                <c:pt idx="120">
                  <c:v>2.4730978590523822</c:v>
                </c:pt>
                <c:pt idx="121">
                  <c:v>2.523097859052382</c:v>
                </c:pt>
                <c:pt idx="122">
                  <c:v>2.5730978590523819</c:v>
                </c:pt>
                <c:pt idx="123">
                  <c:v>2.6230978590523817</c:v>
                </c:pt>
                <c:pt idx="124">
                  <c:v>2.6730978590523815</c:v>
                </c:pt>
                <c:pt idx="125">
                  <c:v>2.7230978590523813</c:v>
                </c:pt>
                <c:pt idx="126">
                  <c:v>2.7730978590523812</c:v>
                </c:pt>
                <c:pt idx="127">
                  <c:v>2.823097859052381</c:v>
                </c:pt>
                <c:pt idx="128">
                  <c:v>2.8730978590523808</c:v>
                </c:pt>
                <c:pt idx="129">
                  <c:v>2.9230978590523806</c:v>
                </c:pt>
                <c:pt idx="130">
                  <c:v>2.9730978590523804</c:v>
                </c:pt>
                <c:pt idx="131">
                  <c:v>3.0230978590523803</c:v>
                </c:pt>
                <c:pt idx="132">
                  <c:v>3.0730978590523801</c:v>
                </c:pt>
                <c:pt idx="133">
                  <c:v>3.1230978590523799</c:v>
                </c:pt>
                <c:pt idx="134">
                  <c:v>3.1730978590523797</c:v>
                </c:pt>
                <c:pt idx="135">
                  <c:v>3.2230978590523796</c:v>
                </c:pt>
                <c:pt idx="136">
                  <c:v>3.2730978590523794</c:v>
                </c:pt>
                <c:pt idx="137">
                  <c:v>3.3230978590523792</c:v>
                </c:pt>
                <c:pt idx="138">
                  <c:v>3.373097859052379</c:v>
                </c:pt>
                <c:pt idx="139">
                  <c:v>3.4230978590523788</c:v>
                </c:pt>
                <c:pt idx="140">
                  <c:v>3.4730978590523787</c:v>
                </c:pt>
                <c:pt idx="141">
                  <c:v>3.5230978590523785</c:v>
                </c:pt>
                <c:pt idx="142">
                  <c:v>3.5730978590523783</c:v>
                </c:pt>
                <c:pt idx="143">
                  <c:v>3.6230978590523781</c:v>
                </c:pt>
                <c:pt idx="144">
                  <c:v>3.673097859052378</c:v>
                </c:pt>
                <c:pt idx="145">
                  <c:v>3.7230978590523778</c:v>
                </c:pt>
                <c:pt idx="146">
                  <c:v>3.7730978590523776</c:v>
                </c:pt>
                <c:pt idx="147">
                  <c:v>3.8230978590523774</c:v>
                </c:pt>
                <c:pt idx="148">
                  <c:v>3.8730978590523772</c:v>
                </c:pt>
                <c:pt idx="149">
                  <c:v>3.9230978590523771</c:v>
                </c:pt>
                <c:pt idx="150">
                  <c:v>3.9730978590523769</c:v>
                </c:pt>
                <c:pt idx="151">
                  <c:v>4.0230978590523767</c:v>
                </c:pt>
                <c:pt idx="152">
                  <c:v>4.0730978590523765</c:v>
                </c:pt>
                <c:pt idx="153">
                  <c:v>4.1230978590523764</c:v>
                </c:pt>
                <c:pt idx="154">
                  <c:v>4.1730978590523762</c:v>
                </c:pt>
                <c:pt idx="155">
                  <c:v>4.223097859052376</c:v>
                </c:pt>
                <c:pt idx="156">
                  <c:v>4.2730978590523758</c:v>
                </c:pt>
                <c:pt idx="157">
                  <c:v>4.3230978590523756</c:v>
                </c:pt>
                <c:pt idx="158">
                  <c:v>4.3730978590523755</c:v>
                </c:pt>
                <c:pt idx="159">
                  <c:v>4.4230978590523753</c:v>
                </c:pt>
              </c:numCache>
            </c:numRef>
          </c:xVal>
          <c:yVal>
            <c:numRef>
              <c:f>normpltsLR!$C$4:$C$163</c:f>
              <c:numCache>
                <c:formatCode>General</c:formatCode>
                <c:ptCount val="160"/>
                <c:pt idx="0">
                  <c:v>1.3383022576488534E-4</c:v>
                </c:pt>
                <c:pt idx="1">
                  <c:v>1.9865547139277234E-4</c:v>
                </c:pt>
                <c:pt idx="2">
                  <c:v>2.4112658022599299E-4</c:v>
                </c:pt>
                <c:pt idx="3">
                  <c:v>2.9194692579145946E-4</c:v>
                </c:pt>
                <c:pt idx="4">
                  <c:v>3.5259568236744411E-4</c:v>
                </c:pt>
                <c:pt idx="5">
                  <c:v>4.2478027055074992E-4</c:v>
                </c:pt>
                <c:pt idx="6">
                  <c:v>5.1046497434418321E-4</c:v>
                </c:pt>
                <c:pt idx="7">
                  <c:v>6.1190193011376919E-4</c:v>
                </c:pt>
                <c:pt idx="8">
                  <c:v>7.3166446283030623E-4</c:v>
                </c:pt>
                <c:pt idx="9">
                  <c:v>8.7268269504575462E-4</c:v>
                </c:pt>
                <c:pt idx="10">
                  <c:v>1.0382812956614036E-3</c:v>
                </c:pt>
                <c:pt idx="11">
                  <c:v>1.23221916847301E-3</c:v>
                </c:pt>
                <c:pt idx="12">
                  <c:v>1.4587308046667342E-3</c:v>
                </c:pt>
                <c:pt idx="13">
                  <c:v>1.7225689390536656E-3</c:v>
                </c:pt>
                <c:pt idx="14">
                  <c:v>2.0290480572997499E-3</c:v>
                </c:pt>
                <c:pt idx="15">
                  <c:v>2.3840882014648209E-3</c:v>
                </c:pt>
                <c:pt idx="16">
                  <c:v>2.7942584148794194E-3</c:v>
                </c:pt>
                <c:pt idx="17">
                  <c:v>3.2668190561998887E-3</c:v>
                </c:pt>
                <c:pt idx="18">
                  <c:v>3.8097620982217692E-3</c:v>
                </c:pt>
                <c:pt idx="19">
                  <c:v>4.4318484119379598E-3</c:v>
                </c:pt>
                <c:pt idx="20">
                  <c:v>5.1426409230538829E-3</c:v>
                </c:pt>
                <c:pt idx="21">
                  <c:v>5.9525324197757844E-3</c:v>
                </c:pt>
                <c:pt idx="22">
                  <c:v>6.8727666906138914E-3</c:v>
                </c:pt>
                <c:pt idx="23">
                  <c:v>7.9154515829798697E-3</c:v>
                </c:pt>
                <c:pt idx="24">
                  <c:v>9.0935625015909401E-3</c:v>
                </c:pt>
                <c:pt idx="25">
                  <c:v>1.0420934814422465E-2</c:v>
                </c:pt>
                <c:pt idx="26">
                  <c:v>1.1912243607605023E-2</c:v>
                </c:pt>
                <c:pt idx="27">
                  <c:v>1.3582969233685443E-2</c:v>
                </c:pt>
                <c:pt idx="28">
                  <c:v>1.5449347134394966E-2</c:v>
                </c:pt>
                <c:pt idx="29">
                  <c:v>1.7528300493568301E-2</c:v>
                </c:pt>
                <c:pt idx="30">
                  <c:v>1.9837354391795053E-2</c:v>
                </c:pt>
                <c:pt idx="31">
                  <c:v>2.2394530294842608E-2</c:v>
                </c:pt>
                <c:pt idx="32">
                  <c:v>2.5218219915194063E-2</c:v>
                </c:pt>
                <c:pt idx="33">
                  <c:v>2.8327037741600808E-2</c:v>
                </c:pt>
                <c:pt idx="34">
                  <c:v>3.1739651835667008E-2</c:v>
                </c:pt>
                <c:pt idx="35">
                  <c:v>3.547459284623096E-2</c:v>
                </c:pt>
                <c:pt idx="36">
                  <c:v>3.9550041589369693E-2</c:v>
                </c:pt>
                <c:pt idx="37">
                  <c:v>4.3983595980426601E-2</c:v>
                </c:pt>
                <c:pt idx="38">
                  <c:v>4.8792018579182105E-2</c:v>
                </c:pt>
                <c:pt idx="39">
                  <c:v>5.3990966513187334E-2</c:v>
                </c:pt>
                <c:pt idx="40">
                  <c:v>5.9594706068815291E-2</c:v>
                </c:pt>
                <c:pt idx="41">
                  <c:v>6.5615814774675763E-2</c:v>
                </c:pt>
                <c:pt idx="42">
                  <c:v>7.2064874336217111E-2</c:v>
                </c:pt>
                <c:pt idx="43">
                  <c:v>7.8950158300893233E-2</c:v>
                </c:pt>
                <c:pt idx="44">
                  <c:v>8.6277318826510532E-2</c:v>
                </c:pt>
                <c:pt idx="45">
                  <c:v>9.4049077376885878E-2</c:v>
                </c:pt>
                <c:pt idx="46">
                  <c:v>0.10226492456397691</c:v>
                </c:pt>
                <c:pt idx="47">
                  <c:v>0.11092083467945445</c:v>
                </c:pt>
                <c:pt idx="48">
                  <c:v>0.12000900069698442</c:v>
                </c:pt>
                <c:pt idx="49">
                  <c:v>0.12951759566589049</c:v>
                </c:pt>
                <c:pt idx="50">
                  <c:v>0.13943056644535901</c:v>
                </c:pt>
                <c:pt idx="51">
                  <c:v>0.14972746563574357</c:v>
                </c:pt>
                <c:pt idx="52">
                  <c:v>0.16038332734191826</c:v>
                </c:pt>
                <c:pt idx="53">
                  <c:v>0.171368592047806</c:v>
                </c:pt>
                <c:pt idx="54">
                  <c:v>0.18264908538902053</c:v>
                </c:pt>
                <c:pt idx="55">
                  <c:v>0.19418605498321151</c:v>
                </c:pt>
                <c:pt idx="56">
                  <c:v>0.20593626871997334</c:v>
                </c:pt>
                <c:pt idx="57">
                  <c:v>0.21785217703254914</c:v>
                </c:pt>
                <c:pt idx="58">
                  <c:v>0.2298821406842316</c:v>
                </c:pt>
                <c:pt idx="59">
                  <c:v>0.24197072451914192</c:v>
                </c:pt>
                <c:pt idx="60">
                  <c:v>0.25405905646918758</c:v>
                </c:pt>
                <c:pt idx="61">
                  <c:v>0.26608524989875343</c:v>
                </c:pt>
                <c:pt idx="62">
                  <c:v>0.27798488613099509</c:v>
                </c:pt>
                <c:pt idx="63">
                  <c:v>0.2896915527614814</c:v>
                </c:pt>
                <c:pt idx="64">
                  <c:v>0.30113743215480315</c:v>
                </c:pt>
                <c:pt idx="65">
                  <c:v>0.31225393336676005</c:v>
                </c:pt>
                <c:pt idx="66">
                  <c:v>0.3229723596679131</c:v>
                </c:pt>
                <c:pt idx="67">
                  <c:v>0.33322460289179856</c:v>
                </c:pt>
                <c:pt idx="68">
                  <c:v>0.34294385501938285</c:v>
                </c:pt>
                <c:pt idx="69">
                  <c:v>0.35206532676429853</c:v>
                </c:pt>
                <c:pt idx="70">
                  <c:v>0.36052696246164706</c:v>
                </c:pt>
                <c:pt idx="71">
                  <c:v>0.36827014030332245</c:v>
                </c:pt>
                <c:pt idx="72">
                  <c:v>0.37524034691693714</c:v>
                </c:pt>
                <c:pt idx="73">
                  <c:v>0.38138781546052347</c:v>
                </c:pt>
                <c:pt idx="74">
                  <c:v>0.38666811680284868</c:v>
                </c:pt>
                <c:pt idx="75">
                  <c:v>0.39104269397545544</c:v>
                </c:pt>
                <c:pt idx="76">
                  <c:v>0.3944793309078885</c:v>
                </c:pt>
                <c:pt idx="77">
                  <c:v>0.39695254747701153</c:v>
                </c:pt>
                <c:pt idx="78">
                  <c:v>0.39844391409476387</c:v>
                </c:pt>
                <c:pt idx="79">
                  <c:v>0.39894228040143265</c:v>
                </c:pt>
                <c:pt idx="80">
                  <c:v>0.3984439140947641</c:v>
                </c:pt>
                <c:pt idx="81">
                  <c:v>0.39695254747701197</c:v>
                </c:pt>
                <c:pt idx="82">
                  <c:v>0.39447933090788917</c:v>
                </c:pt>
                <c:pt idx="83">
                  <c:v>0.39104269397545627</c:v>
                </c:pt>
                <c:pt idx="84">
                  <c:v>0.38666811680284968</c:v>
                </c:pt>
                <c:pt idx="85">
                  <c:v>0.38138781546052464</c:v>
                </c:pt>
                <c:pt idx="86">
                  <c:v>0.37524034691693858</c:v>
                </c:pt>
                <c:pt idx="87">
                  <c:v>0.36827014030332406</c:v>
                </c:pt>
                <c:pt idx="88">
                  <c:v>0.36052696246164878</c:v>
                </c:pt>
                <c:pt idx="89">
                  <c:v>0.35206532676430041</c:v>
                </c:pt>
                <c:pt idx="90">
                  <c:v>0.3429438550193849</c:v>
                </c:pt>
                <c:pt idx="91">
                  <c:v>0.33322460289180073</c:v>
                </c:pt>
                <c:pt idx="92">
                  <c:v>0.32297235966791538</c:v>
                </c:pt>
                <c:pt idx="93">
                  <c:v>0.31225393336676244</c:v>
                </c:pt>
                <c:pt idx="94">
                  <c:v>0.30113743215480554</c:v>
                </c:pt>
                <c:pt idx="95">
                  <c:v>0.28969155276148389</c:v>
                </c:pt>
                <c:pt idx="96">
                  <c:v>0.27798488613099759</c:v>
                </c:pt>
                <c:pt idx="97">
                  <c:v>0.26608524989875604</c:v>
                </c:pt>
                <c:pt idx="98">
                  <c:v>0.25405905646919014</c:v>
                </c:pt>
                <c:pt idx="99">
                  <c:v>0.24197072451914456</c:v>
                </c:pt>
                <c:pt idx="100">
                  <c:v>0.22988214068423421</c:v>
                </c:pt>
                <c:pt idx="101">
                  <c:v>0.21785217703255175</c:v>
                </c:pt>
                <c:pt idx="102">
                  <c:v>0.20593626871997592</c:v>
                </c:pt>
                <c:pt idx="103">
                  <c:v>0.19418605498321406</c:v>
                </c:pt>
                <c:pt idx="104">
                  <c:v>0.182649085389023</c:v>
                </c:pt>
                <c:pt idx="105">
                  <c:v>0.17136859204780841</c:v>
                </c:pt>
                <c:pt idx="106">
                  <c:v>0.16038332734192062</c:v>
                </c:pt>
                <c:pt idx="107">
                  <c:v>0.14972746563574585</c:v>
                </c:pt>
                <c:pt idx="108">
                  <c:v>0.1394305664453612</c:v>
                </c:pt>
                <c:pt idx="109">
                  <c:v>0.12951759566589263</c:v>
                </c:pt>
                <c:pt idx="110">
                  <c:v>0.12000900069698645</c:v>
                </c:pt>
                <c:pt idx="111">
                  <c:v>0.11092083467945635</c:v>
                </c:pt>
                <c:pt idx="112">
                  <c:v>0.10226492456397882</c:v>
                </c:pt>
                <c:pt idx="113">
                  <c:v>9.4049077376887641E-2</c:v>
                </c:pt>
                <c:pt idx="114">
                  <c:v>8.6277318826512142E-2</c:v>
                </c:pt>
                <c:pt idx="115">
                  <c:v>7.8950158300894774E-2</c:v>
                </c:pt>
                <c:pt idx="116">
                  <c:v>7.2064874336218596E-2</c:v>
                </c:pt>
                <c:pt idx="117">
                  <c:v>6.5615814774677136E-2</c:v>
                </c:pt>
                <c:pt idx="118">
                  <c:v>5.9594706068816533E-2</c:v>
                </c:pt>
                <c:pt idx="119">
                  <c:v>5.3990966513188507E-2</c:v>
                </c:pt>
                <c:pt idx="120">
                  <c:v>4.8792018579183215E-2</c:v>
                </c:pt>
                <c:pt idx="121">
                  <c:v>4.3983595980427635E-2</c:v>
                </c:pt>
                <c:pt idx="122">
                  <c:v>3.9550041589370644E-2</c:v>
                </c:pt>
                <c:pt idx="123">
                  <c:v>3.5474592846231827E-2</c:v>
                </c:pt>
                <c:pt idx="124">
                  <c:v>3.1739651835667793E-2</c:v>
                </c:pt>
                <c:pt idx="125">
                  <c:v>2.8327037741601533E-2</c:v>
                </c:pt>
                <c:pt idx="126">
                  <c:v>2.5218219915194722E-2</c:v>
                </c:pt>
                <c:pt idx="127">
                  <c:v>2.2394530294843208E-2</c:v>
                </c:pt>
                <c:pt idx="128">
                  <c:v>1.9837354391795618E-2</c:v>
                </c:pt>
                <c:pt idx="129">
                  <c:v>1.7528300493568807E-2</c:v>
                </c:pt>
                <c:pt idx="130">
                  <c:v>1.5449347134395421E-2</c:v>
                </c:pt>
                <c:pt idx="131">
                  <c:v>1.3582969233685847E-2</c:v>
                </c:pt>
                <c:pt idx="132">
                  <c:v>1.1912243607605389E-2</c:v>
                </c:pt>
                <c:pt idx="133">
                  <c:v>1.0420934814422789E-2</c:v>
                </c:pt>
                <c:pt idx="134">
                  <c:v>9.0935625015912298E-3</c:v>
                </c:pt>
                <c:pt idx="135">
                  <c:v>7.9154515829801247E-3</c:v>
                </c:pt>
                <c:pt idx="136">
                  <c:v>6.8727666906141169E-3</c:v>
                </c:pt>
                <c:pt idx="137">
                  <c:v>5.9525324197759848E-3</c:v>
                </c:pt>
                <c:pt idx="138">
                  <c:v>5.1426409230540572E-3</c:v>
                </c:pt>
                <c:pt idx="139">
                  <c:v>4.4318484119381133E-3</c:v>
                </c:pt>
                <c:pt idx="140">
                  <c:v>3.8097620982219015E-3</c:v>
                </c:pt>
                <c:pt idx="141">
                  <c:v>3.2668190562000054E-3</c:v>
                </c:pt>
                <c:pt idx="142">
                  <c:v>2.7942584148795213E-3</c:v>
                </c:pt>
                <c:pt idx="143">
                  <c:v>2.384088201464908E-3</c:v>
                </c:pt>
                <c:pt idx="144">
                  <c:v>2.0290480572998254E-3</c:v>
                </c:pt>
                <c:pt idx="145">
                  <c:v>1.7225689390537313E-3</c:v>
                </c:pt>
                <c:pt idx="146">
                  <c:v>1.458730804666791E-3</c:v>
                </c:pt>
                <c:pt idx="147">
                  <c:v>1.2322191684730579E-3</c:v>
                </c:pt>
                <c:pt idx="148">
                  <c:v>1.0382812956614453E-3</c:v>
                </c:pt>
                <c:pt idx="149">
                  <c:v>8.7268269504578943E-4</c:v>
                </c:pt>
                <c:pt idx="150">
                  <c:v>7.3166446283033616E-4</c:v>
                </c:pt>
                <c:pt idx="151">
                  <c:v>6.1190193011379467E-4</c:v>
                </c:pt>
                <c:pt idx="152">
                  <c:v>5.1046497434420457E-4</c:v>
                </c:pt>
                <c:pt idx="153">
                  <c:v>4.2478027055076797E-4</c:v>
                </c:pt>
                <c:pt idx="154">
                  <c:v>3.525956823674595E-4</c:v>
                </c:pt>
                <c:pt idx="155">
                  <c:v>2.9194692579147214E-4</c:v>
                </c:pt>
                <c:pt idx="156">
                  <c:v>2.4112658022600373E-4</c:v>
                </c:pt>
                <c:pt idx="157">
                  <c:v>1.9865547139278134E-4</c:v>
                </c:pt>
                <c:pt idx="158">
                  <c:v>1.6325640876624939E-4</c:v>
                </c:pt>
                <c:pt idx="159">
                  <c:v>1.3383022576489152E-4</c:v>
                </c:pt>
              </c:numCache>
            </c:numRef>
          </c:yVal>
        </c:ser>
        <c:ser>
          <c:idx val="2"/>
          <c:order val="2"/>
          <c:tx>
            <c:strRef>
              <c:f>normpltsLR!$H$8</c:f>
              <c:strCache>
                <c:ptCount val="1"/>
                <c:pt idx="0">
                  <c:v>Affected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normpltsLR!$I$8</c:f>
              <c:numCache>
                <c:formatCode>General</c:formatCode>
                <c:ptCount val="1"/>
                <c:pt idx="0">
                  <c:v>4.4230978590523753</c:v>
                </c:pt>
              </c:numCache>
            </c:numRef>
          </c:xVal>
          <c:yVal>
            <c:numRef>
              <c:f>normpltsLR!$J$8</c:f>
              <c:numCache>
                <c:formatCode>General</c:formatCode>
                <c:ptCount val="1"/>
                <c:pt idx="0">
                  <c:v>0.19947114020071632</c:v>
                </c:pt>
              </c:numCache>
            </c:numRef>
          </c:yVal>
        </c:ser>
        <c:ser>
          <c:idx val="3"/>
          <c:order val="3"/>
          <c:tx>
            <c:strRef>
              <c:f>normpltsLR!$H$7</c:f>
              <c:strCache>
                <c:ptCount val="1"/>
                <c:pt idx="0">
                  <c:v>Unaffected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SerName val="1"/>
          </c:dLbls>
          <c:xVal>
            <c:numRef>
              <c:f>normpltsLR!$I$7</c:f>
              <c:numCache>
                <c:formatCode>General</c:formatCode>
                <c:ptCount val="1"/>
                <c:pt idx="0">
                  <c:v>-4</c:v>
                </c:pt>
              </c:numCache>
            </c:numRef>
          </c:xVal>
          <c:yVal>
            <c:numRef>
              <c:f>normpltsLR!$J$7</c:f>
              <c:numCache>
                <c:formatCode>General</c:formatCode>
                <c:ptCount val="1"/>
                <c:pt idx="0">
                  <c:v>0.19947114020071632</c:v>
                </c:pt>
              </c:numCache>
            </c:numRef>
          </c:yVal>
        </c:ser>
        <c:ser>
          <c:idx val="4"/>
          <c:order val="4"/>
          <c:tx>
            <c:v>Vert line</c:v>
          </c:tx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xVal>
            <c:numRef>
              <c:f>normpltsLR!$J$14:$J$15</c:f>
              <c:numCache>
                <c:formatCode>General</c:formatCode>
                <c:ptCount val="2"/>
                <c:pt idx="0">
                  <c:v>0.21154892952619331</c:v>
                </c:pt>
                <c:pt idx="1">
                  <c:v>0.21154892952619331</c:v>
                </c:pt>
              </c:numCache>
            </c:numRef>
          </c:xVal>
          <c:yVal>
            <c:numRef>
              <c:f>normpltsLR!$K$14:$K$15</c:f>
              <c:numCache>
                <c:formatCode>General</c:formatCode>
                <c:ptCount val="2"/>
                <c:pt idx="0">
                  <c:v>0</c:v>
                </c:pt>
                <c:pt idx="1">
                  <c:v>0.39894228040143265</c:v>
                </c:pt>
              </c:numCache>
            </c:numRef>
          </c:yVal>
        </c:ser>
        <c:axId val="119875456"/>
        <c:axId val="119876992"/>
      </c:scatterChart>
      <c:valAx>
        <c:axId val="119875456"/>
        <c:scaling>
          <c:orientation val="minMax"/>
          <c:max val="6"/>
          <c:min val="-4"/>
        </c:scaling>
        <c:axPos val="b"/>
        <c:numFmt formatCode="General" sourceLinked="1"/>
        <c:tickLblPos val="none"/>
        <c:spPr>
          <a:ln w="3175">
            <a:solidFill>
              <a:srgbClr val="000000"/>
            </a:solidFill>
            <a:prstDash val="solid"/>
          </a:ln>
        </c:spPr>
        <c:crossAx val="119876992"/>
        <c:crosses val="autoZero"/>
        <c:crossBetween val="midCat"/>
      </c:valAx>
      <c:valAx>
        <c:axId val="119876992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198754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Likelihood ratio</a:t>
            </a:r>
          </a:p>
        </c:rich>
      </c:tx>
      <c:layout>
        <c:manualLayout>
          <c:xMode val="edge"/>
          <c:yMode val="edge"/>
          <c:x val="0.29207965660261676"/>
          <c:y val="2.07466799208238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4752515135937386E-2"/>
          <c:y val="0.26141131801761475"/>
          <c:w val="0.94059557516562109"/>
          <c:h val="0.5518683380371866"/>
        </c:manualLayout>
      </c:layout>
      <c:scatterChart>
        <c:scatterStyle val="smoothMarker"/>
        <c:ser>
          <c:idx val="4"/>
          <c:order val="0"/>
          <c:tx>
            <c:v>Likeliohood ratio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normpltsLR!$A$4:$A$163</c:f>
              <c:numCache>
                <c:formatCode>General</c:formatCode>
                <c:ptCount val="160"/>
                <c:pt idx="0">
                  <c:v>-4</c:v>
                </c:pt>
                <c:pt idx="1">
                  <c:v>-3.9</c:v>
                </c:pt>
                <c:pt idx="2">
                  <c:v>-3.85</c:v>
                </c:pt>
                <c:pt idx="3">
                  <c:v>-3.8000000000000003</c:v>
                </c:pt>
                <c:pt idx="4">
                  <c:v>-3.7500000000000004</c:v>
                </c:pt>
                <c:pt idx="5">
                  <c:v>-3.7000000000000006</c:v>
                </c:pt>
                <c:pt idx="6">
                  <c:v>-3.6500000000000008</c:v>
                </c:pt>
                <c:pt idx="7">
                  <c:v>-3.600000000000001</c:v>
                </c:pt>
                <c:pt idx="8">
                  <c:v>-3.5500000000000012</c:v>
                </c:pt>
                <c:pt idx="9">
                  <c:v>-3.5000000000000013</c:v>
                </c:pt>
                <c:pt idx="10">
                  <c:v>-3.4500000000000015</c:v>
                </c:pt>
                <c:pt idx="11">
                  <c:v>-3.4000000000000017</c:v>
                </c:pt>
                <c:pt idx="12">
                  <c:v>-3.3500000000000019</c:v>
                </c:pt>
                <c:pt idx="13">
                  <c:v>-3.300000000000002</c:v>
                </c:pt>
                <c:pt idx="14">
                  <c:v>-3.2500000000000022</c:v>
                </c:pt>
                <c:pt idx="15">
                  <c:v>-3.2000000000000024</c:v>
                </c:pt>
                <c:pt idx="16">
                  <c:v>-3.1500000000000026</c:v>
                </c:pt>
                <c:pt idx="17">
                  <c:v>-3.1000000000000028</c:v>
                </c:pt>
                <c:pt idx="18">
                  <c:v>-3.0500000000000029</c:v>
                </c:pt>
                <c:pt idx="19">
                  <c:v>-3.0000000000000031</c:v>
                </c:pt>
                <c:pt idx="20">
                  <c:v>-2.9500000000000033</c:v>
                </c:pt>
                <c:pt idx="21">
                  <c:v>-2.9000000000000035</c:v>
                </c:pt>
                <c:pt idx="22">
                  <c:v>-2.8500000000000036</c:v>
                </c:pt>
                <c:pt idx="23">
                  <c:v>-2.8000000000000038</c:v>
                </c:pt>
                <c:pt idx="24">
                  <c:v>-2.750000000000004</c:v>
                </c:pt>
                <c:pt idx="25">
                  <c:v>-2.7000000000000042</c:v>
                </c:pt>
                <c:pt idx="26">
                  <c:v>-2.6500000000000044</c:v>
                </c:pt>
                <c:pt idx="27">
                  <c:v>-2.6000000000000045</c:v>
                </c:pt>
                <c:pt idx="28">
                  <c:v>-2.5500000000000047</c:v>
                </c:pt>
                <c:pt idx="29">
                  <c:v>-2.5000000000000049</c:v>
                </c:pt>
                <c:pt idx="30">
                  <c:v>-2.4500000000000051</c:v>
                </c:pt>
                <c:pt idx="31">
                  <c:v>-2.4000000000000052</c:v>
                </c:pt>
                <c:pt idx="32">
                  <c:v>-2.3500000000000054</c:v>
                </c:pt>
                <c:pt idx="33">
                  <c:v>-2.3000000000000056</c:v>
                </c:pt>
                <c:pt idx="34">
                  <c:v>-2.2500000000000058</c:v>
                </c:pt>
                <c:pt idx="35">
                  <c:v>-2.200000000000006</c:v>
                </c:pt>
                <c:pt idx="36">
                  <c:v>-2.1500000000000061</c:v>
                </c:pt>
                <c:pt idx="37">
                  <c:v>-2.1000000000000063</c:v>
                </c:pt>
                <c:pt idx="38">
                  <c:v>-2.0500000000000065</c:v>
                </c:pt>
                <c:pt idx="39">
                  <c:v>-2.0000000000000067</c:v>
                </c:pt>
                <c:pt idx="40">
                  <c:v>-1.9500000000000066</c:v>
                </c:pt>
                <c:pt idx="41">
                  <c:v>-1.9000000000000066</c:v>
                </c:pt>
                <c:pt idx="42">
                  <c:v>-1.8500000000000065</c:v>
                </c:pt>
                <c:pt idx="43">
                  <c:v>-1.8000000000000065</c:v>
                </c:pt>
                <c:pt idx="44">
                  <c:v>-1.7500000000000064</c:v>
                </c:pt>
                <c:pt idx="45">
                  <c:v>-1.7000000000000064</c:v>
                </c:pt>
                <c:pt idx="46">
                  <c:v>-1.6500000000000064</c:v>
                </c:pt>
                <c:pt idx="47">
                  <c:v>-1.6000000000000063</c:v>
                </c:pt>
                <c:pt idx="48">
                  <c:v>-1.5500000000000063</c:v>
                </c:pt>
                <c:pt idx="49">
                  <c:v>-1.5000000000000062</c:v>
                </c:pt>
                <c:pt idx="50">
                  <c:v>-1.4500000000000062</c:v>
                </c:pt>
                <c:pt idx="51">
                  <c:v>-1.4000000000000061</c:v>
                </c:pt>
                <c:pt idx="52">
                  <c:v>-1.3500000000000061</c:v>
                </c:pt>
                <c:pt idx="53">
                  <c:v>-1.300000000000006</c:v>
                </c:pt>
                <c:pt idx="54">
                  <c:v>-1.250000000000006</c:v>
                </c:pt>
                <c:pt idx="55">
                  <c:v>-1.200000000000006</c:v>
                </c:pt>
                <c:pt idx="56">
                  <c:v>-1.1500000000000059</c:v>
                </c:pt>
                <c:pt idx="57">
                  <c:v>-1.1000000000000059</c:v>
                </c:pt>
                <c:pt idx="58">
                  <c:v>-1.0500000000000058</c:v>
                </c:pt>
                <c:pt idx="59">
                  <c:v>-1.0000000000000058</c:v>
                </c:pt>
                <c:pt idx="60">
                  <c:v>-0.95000000000000573</c:v>
                </c:pt>
                <c:pt idx="61">
                  <c:v>-0.90000000000000568</c:v>
                </c:pt>
                <c:pt idx="62">
                  <c:v>-0.85000000000000564</c:v>
                </c:pt>
                <c:pt idx="63">
                  <c:v>-0.8000000000000056</c:v>
                </c:pt>
                <c:pt idx="64">
                  <c:v>-0.75000000000000555</c:v>
                </c:pt>
                <c:pt idx="65">
                  <c:v>-0.70000000000000551</c:v>
                </c:pt>
                <c:pt idx="66">
                  <c:v>-0.65000000000000546</c:v>
                </c:pt>
                <c:pt idx="67">
                  <c:v>-0.60000000000000542</c:v>
                </c:pt>
                <c:pt idx="68">
                  <c:v>-0.55000000000000537</c:v>
                </c:pt>
                <c:pt idx="69">
                  <c:v>-0.50000000000000533</c:v>
                </c:pt>
                <c:pt idx="70">
                  <c:v>-0.45000000000000534</c:v>
                </c:pt>
                <c:pt idx="71">
                  <c:v>-0.40000000000000535</c:v>
                </c:pt>
                <c:pt idx="72">
                  <c:v>-0.35000000000000536</c:v>
                </c:pt>
                <c:pt idx="73">
                  <c:v>-0.30000000000000537</c:v>
                </c:pt>
                <c:pt idx="74">
                  <c:v>-0.25000000000000538</c:v>
                </c:pt>
                <c:pt idx="75">
                  <c:v>-0.2000000000000054</c:v>
                </c:pt>
                <c:pt idx="76">
                  <c:v>-0.15000000000000541</c:v>
                </c:pt>
                <c:pt idx="77">
                  <c:v>-0.1000000000000054</c:v>
                </c:pt>
                <c:pt idx="78">
                  <c:v>-5.0000000000005401E-2</c:v>
                </c:pt>
                <c:pt idx="79">
                  <c:v>-5.3984594572398237E-15</c:v>
                </c:pt>
                <c:pt idx="80">
                  <c:v>4.9999999999994604E-2</c:v>
                </c:pt>
                <c:pt idx="81">
                  <c:v>9.9999999999994607E-2</c:v>
                </c:pt>
                <c:pt idx="82">
                  <c:v>0.14999999999999461</c:v>
                </c:pt>
                <c:pt idx="83">
                  <c:v>0.19999999999999463</c:v>
                </c:pt>
                <c:pt idx="84">
                  <c:v>0.24999999999999462</c:v>
                </c:pt>
                <c:pt idx="85">
                  <c:v>0.2999999999999946</c:v>
                </c:pt>
                <c:pt idx="86">
                  <c:v>0.34999999999999459</c:v>
                </c:pt>
                <c:pt idx="87">
                  <c:v>0.39999999999999458</c:v>
                </c:pt>
                <c:pt idx="88">
                  <c:v>0.44999999999999457</c:v>
                </c:pt>
                <c:pt idx="89">
                  <c:v>0.49999999999999456</c:v>
                </c:pt>
                <c:pt idx="90">
                  <c:v>0.5499999999999946</c:v>
                </c:pt>
                <c:pt idx="91">
                  <c:v>0.59999999999999465</c:v>
                </c:pt>
                <c:pt idx="92">
                  <c:v>0.64999999999999469</c:v>
                </c:pt>
                <c:pt idx="93">
                  <c:v>0.69999999999999474</c:v>
                </c:pt>
                <c:pt idx="94">
                  <c:v>0.74999999999999478</c:v>
                </c:pt>
                <c:pt idx="95">
                  <c:v>0.79999999999999483</c:v>
                </c:pt>
                <c:pt idx="96">
                  <c:v>0.84999999999999487</c:v>
                </c:pt>
                <c:pt idx="97">
                  <c:v>0.89999999999999492</c:v>
                </c:pt>
                <c:pt idx="98">
                  <c:v>0.94999999999999496</c:v>
                </c:pt>
                <c:pt idx="99">
                  <c:v>0.999999999999995</c:v>
                </c:pt>
                <c:pt idx="100">
                  <c:v>1.0499999999999949</c:v>
                </c:pt>
                <c:pt idx="101">
                  <c:v>1.099999999999995</c:v>
                </c:pt>
                <c:pt idx="102">
                  <c:v>1.149999999999995</c:v>
                </c:pt>
                <c:pt idx="103">
                  <c:v>1.1999999999999951</c:v>
                </c:pt>
                <c:pt idx="104">
                  <c:v>1.2499999999999951</c:v>
                </c:pt>
                <c:pt idx="105">
                  <c:v>1.2999999999999952</c:v>
                </c:pt>
                <c:pt idx="106">
                  <c:v>1.3499999999999952</c:v>
                </c:pt>
                <c:pt idx="107">
                  <c:v>1.3999999999999952</c:v>
                </c:pt>
                <c:pt idx="108">
                  <c:v>1.4499999999999953</c:v>
                </c:pt>
                <c:pt idx="109">
                  <c:v>1.4999999999999953</c:v>
                </c:pt>
                <c:pt idx="110">
                  <c:v>1.5499999999999954</c:v>
                </c:pt>
                <c:pt idx="111">
                  <c:v>1.5999999999999954</c:v>
                </c:pt>
                <c:pt idx="112">
                  <c:v>1.6499999999999955</c:v>
                </c:pt>
                <c:pt idx="113">
                  <c:v>1.6999999999999955</c:v>
                </c:pt>
                <c:pt idx="114">
                  <c:v>1.7499999999999956</c:v>
                </c:pt>
                <c:pt idx="115">
                  <c:v>1.7999999999999956</c:v>
                </c:pt>
                <c:pt idx="116">
                  <c:v>1.8499999999999956</c:v>
                </c:pt>
                <c:pt idx="117">
                  <c:v>1.8999999999999957</c:v>
                </c:pt>
                <c:pt idx="118">
                  <c:v>1.9499999999999957</c:v>
                </c:pt>
                <c:pt idx="119">
                  <c:v>1.9999999999999958</c:v>
                </c:pt>
                <c:pt idx="120">
                  <c:v>2.0499999999999958</c:v>
                </c:pt>
                <c:pt idx="121">
                  <c:v>2.0999999999999956</c:v>
                </c:pt>
                <c:pt idx="122">
                  <c:v>2.1499999999999955</c:v>
                </c:pt>
                <c:pt idx="123">
                  <c:v>2.1999999999999953</c:v>
                </c:pt>
                <c:pt idx="124">
                  <c:v>2.2499999999999951</c:v>
                </c:pt>
                <c:pt idx="125">
                  <c:v>2.2999999999999949</c:v>
                </c:pt>
                <c:pt idx="126">
                  <c:v>2.3499999999999948</c:v>
                </c:pt>
                <c:pt idx="127">
                  <c:v>2.3999999999999946</c:v>
                </c:pt>
                <c:pt idx="128">
                  <c:v>2.4499999999999944</c:v>
                </c:pt>
                <c:pt idx="129">
                  <c:v>2.4999999999999942</c:v>
                </c:pt>
                <c:pt idx="130">
                  <c:v>2.549999999999994</c:v>
                </c:pt>
                <c:pt idx="131">
                  <c:v>2.5999999999999939</c:v>
                </c:pt>
                <c:pt idx="132">
                  <c:v>2.6499999999999937</c:v>
                </c:pt>
                <c:pt idx="133">
                  <c:v>2.6999999999999935</c:v>
                </c:pt>
                <c:pt idx="134">
                  <c:v>2.7499999999999933</c:v>
                </c:pt>
                <c:pt idx="135">
                  <c:v>2.7999999999999932</c:v>
                </c:pt>
                <c:pt idx="136">
                  <c:v>2.849999999999993</c:v>
                </c:pt>
                <c:pt idx="137">
                  <c:v>2.8999999999999928</c:v>
                </c:pt>
                <c:pt idx="138">
                  <c:v>2.9499999999999926</c:v>
                </c:pt>
                <c:pt idx="139">
                  <c:v>2.9999999999999925</c:v>
                </c:pt>
                <c:pt idx="140">
                  <c:v>3.0499999999999923</c:v>
                </c:pt>
                <c:pt idx="141">
                  <c:v>3.0999999999999921</c:v>
                </c:pt>
                <c:pt idx="142">
                  <c:v>3.1499999999999919</c:v>
                </c:pt>
                <c:pt idx="143">
                  <c:v>3.1999999999999917</c:v>
                </c:pt>
                <c:pt idx="144">
                  <c:v>3.2499999999999916</c:v>
                </c:pt>
                <c:pt idx="145">
                  <c:v>3.2999999999999914</c:v>
                </c:pt>
                <c:pt idx="146">
                  <c:v>3.3499999999999912</c:v>
                </c:pt>
                <c:pt idx="147">
                  <c:v>3.399999999999991</c:v>
                </c:pt>
                <c:pt idx="148">
                  <c:v>3.4499999999999909</c:v>
                </c:pt>
                <c:pt idx="149">
                  <c:v>3.4999999999999907</c:v>
                </c:pt>
                <c:pt idx="150">
                  <c:v>3.5499999999999905</c:v>
                </c:pt>
                <c:pt idx="151">
                  <c:v>3.5999999999999903</c:v>
                </c:pt>
                <c:pt idx="152">
                  <c:v>3.6499999999999901</c:v>
                </c:pt>
                <c:pt idx="153">
                  <c:v>3.69999999999999</c:v>
                </c:pt>
                <c:pt idx="154">
                  <c:v>3.7499999999999898</c:v>
                </c:pt>
                <c:pt idx="155">
                  <c:v>3.7999999999999896</c:v>
                </c:pt>
                <c:pt idx="156">
                  <c:v>3.8499999999999894</c:v>
                </c:pt>
                <c:pt idx="157">
                  <c:v>3.8999999999999893</c:v>
                </c:pt>
                <c:pt idx="158">
                  <c:v>3.9499999999999891</c:v>
                </c:pt>
                <c:pt idx="159">
                  <c:v>3.9999999999999889</c:v>
                </c:pt>
              </c:numCache>
            </c:numRef>
          </c:xVal>
          <c:yVal>
            <c:numRef>
              <c:f>normpltsLR!$F$4:$F$163</c:f>
              <c:numCache>
                <c:formatCode>0.0000</c:formatCode>
                <c:ptCount val="160"/>
                <c:pt idx="0">
                  <c:v>0.16831848749268291</c:v>
                </c:pt>
                <c:pt idx="1">
                  <c:v>0.17559280903038274</c:v>
                </c:pt>
                <c:pt idx="2">
                  <c:v>0.17934702612990466</c:v>
                </c:pt>
                <c:pt idx="3">
                  <c:v>0.18318150930699645</c:v>
                </c:pt>
                <c:pt idx="4">
                  <c:v>0.18709797466998046</c:v>
                </c:pt>
                <c:pt idx="5">
                  <c:v>0.1910981750179937</c:v>
                </c:pt>
                <c:pt idx="6">
                  <c:v>0.19518390062544641</c:v>
                </c:pt>
                <c:pt idx="7">
                  <c:v>0.19935698004325242</c:v>
                </c:pt>
                <c:pt idx="8">
                  <c:v>0.20361928091719042</c:v>
                </c:pt>
                <c:pt idx="9">
                  <c:v>0.2079727108237614</c:v>
                </c:pt>
                <c:pt idx="10">
                  <c:v>0.2124192181239174</c:v>
                </c:pt>
                <c:pt idx="11">
                  <c:v>0.21696079283504296</c:v>
                </c:pt>
                <c:pt idx="12">
                  <c:v>0.22159946752157986</c:v>
                </c:pt>
                <c:pt idx="13">
                  <c:v>0.22633731820469366</c:v>
                </c:pt>
                <c:pt idx="14">
                  <c:v>0.2311764652913888</c:v>
                </c:pt>
                <c:pt idx="15">
                  <c:v>0.23611907452348896</c:v>
                </c:pt>
                <c:pt idx="16">
                  <c:v>0.24116735794690633</c:v>
                </c:pt>
                <c:pt idx="17">
                  <c:v>0.24632357490163442</c:v>
                </c:pt>
                <c:pt idx="18">
                  <c:v>0.25159003303290722</c:v>
                </c:pt>
                <c:pt idx="19">
                  <c:v>0.25696908932397661</c:v>
                </c:pt>
                <c:pt idx="20">
                  <c:v>0.26246315115097157</c:v>
                </c:pt>
                <c:pt idx="21">
                  <c:v>0.26807467736031021</c:v>
                </c:pt>
                <c:pt idx="22">
                  <c:v>0.27380617936914681</c:v>
                </c:pt>
                <c:pt idx="23">
                  <c:v>0.27966022228934723</c:v>
                </c:pt>
                <c:pt idx="24">
                  <c:v>0.28563942607549486</c:v>
                </c:pt>
                <c:pt idx="25">
                  <c:v>0.29174646669744142</c:v>
                </c:pt>
                <c:pt idx="26">
                  <c:v>0.29798407733792687</c:v>
                </c:pt>
                <c:pt idx="27">
                  <c:v>0.30435504961580495</c:v>
                </c:pt>
                <c:pt idx="28">
                  <c:v>0.31086223483542164</c:v>
                </c:pt>
                <c:pt idx="29">
                  <c:v>0.31750854526270578</c:v>
                </c:pt>
                <c:pt idx="30">
                  <c:v>0.32429695542854192</c:v>
                </c:pt>
                <c:pt idx="31">
                  <c:v>0.33123050346001098</c:v>
                </c:pt>
                <c:pt idx="32">
                  <c:v>0.33831229244009192</c:v>
                </c:pt>
                <c:pt idx="33">
                  <c:v>0.34554549179643507</c:v>
                </c:pt>
                <c:pt idx="34">
                  <c:v>0.35293333871982718</c:v>
                </c:pt>
                <c:pt idx="35">
                  <c:v>0.36047913961298378</c:v>
                </c:pt>
                <c:pt idx="36">
                  <c:v>0.36818627157031725</c:v>
                </c:pt>
                <c:pt idx="37">
                  <c:v>0.37605818388934237</c:v>
                </c:pt>
                <c:pt idx="38">
                  <c:v>0.38409839961439662</c:v>
                </c:pt>
                <c:pt idx="39">
                  <c:v>0.39231051711336473</c:v>
                </c:pt>
                <c:pt idx="40">
                  <c:v>0.40069821168811492</c:v>
                </c:pt>
                <c:pt idx="41">
                  <c:v>0.40926523721936597</c:v>
                </c:pt>
                <c:pt idx="42">
                  <c:v>0.41801542784672241</c:v>
                </c:pt>
                <c:pt idx="43">
                  <c:v>0.42695269968462896</c:v>
                </c:pt>
                <c:pt idx="44">
                  <c:v>0.43608105257501267</c:v>
                </c:pt>
                <c:pt idx="45">
                  <c:v>0.44540457187739685</c:v>
                </c:pt>
                <c:pt idx="46">
                  <c:v>0.45492743029728833</c:v>
                </c:pt>
                <c:pt idx="47">
                  <c:v>0.46465388975365551</c:v>
                </c:pt>
                <c:pt idx="48">
                  <c:v>0.47458830328633456</c:v>
                </c:pt>
                <c:pt idx="49">
                  <c:v>0.48473511700421507</c:v>
                </c:pt>
                <c:pt idx="50">
                  <c:v>0.49509887207507969</c:v>
                </c:pt>
                <c:pt idx="51">
                  <c:v>0.5056842067579862</c:v>
                </c:pt>
                <c:pt idx="52">
                  <c:v>0.51649585847910273</c:v>
                </c:pt>
                <c:pt idx="53">
                  <c:v>0.52753866595192456</c:v>
                </c:pt>
                <c:pt idx="54">
                  <c:v>0.5388175713428226</c:v>
                </c:pt>
                <c:pt idx="55">
                  <c:v>0.55033762248289009</c:v>
                </c:pt>
                <c:pt idx="56">
                  <c:v>0.56210397512708077</c:v>
                </c:pt>
                <c:pt idx="57">
                  <c:v>0.57412189526164725</c:v>
                </c:pt>
                <c:pt idx="58">
                  <c:v>0.58639676146091335</c:v>
                </c:pt>
                <c:pt idx="59">
                  <c:v>0.59893406729443366</c:v>
                </c:pt>
                <c:pt idx="60">
                  <c:v>0.61173942378562085</c:v>
                </c:pt>
                <c:pt idx="61">
                  <c:v>0.6248185619229365</c:v>
                </c:pt>
                <c:pt idx="62">
                  <c:v>0.63817733522477438</c:v>
                </c:pt>
                <c:pt idx="63">
                  <c:v>0.65182172235917935</c:v>
                </c:pt>
                <c:pt idx="64">
                  <c:v>0.6657578298195781</c:v>
                </c:pt>
                <c:pt idx="65">
                  <c:v>0.67999189465771614</c:v>
                </c:pt>
                <c:pt idx="66">
                  <c:v>0.69453028727502775</c:v>
                </c:pt>
                <c:pt idx="67">
                  <c:v>0.70937951427368362</c:v>
                </c:pt>
                <c:pt idx="68">
                  <c:v>0.7245462213685967</c:v>
                </c:pt>
                <c:pt idx="69">
                  <c:v>0.74003719636168619</c:v>
                </c:pt>
                <c:pt idx="70">
                  <c:v>0.75585937217973231</c:v>
                </c:pt>
                <c:pt idx="71">
                  <c:v>0.77201982997718155</c:v>
                </c:pt>
                <c:pt idx="72">
                  <c:v>0.78852580230529012</c:v>
                </c:pt>
                <c:pt idx="73">
                  <c:v>0.80538467634902478</c:v>
                </c:pt>
                <c:pt idx="74">
                  <c:v>0.82260399723316913</c:v>
                </c:pt>
                <c:pt idx="75">
                  <c:v>0.84019147139911576</c:v>
                </c:pt>
                <c:pt idx="76">
                  <c:v>0.85815497005385433</c:v>
                </c:pt>
                <c:pt idx="77">
                  <c:v>0.87650253269270051</c:v>
                </c:pt>
                <c:pt idx="78">
                  <c:v>0.89524237069734147</c:v>
                </c:pt>
                <c:pt idx="79">
                  <c:v>0.91438287101080795</c:v>
                </c:pt>
                <c:pt idx="80">
                  <c:v>0.93393259989101951</c:v>
                </c:pt>
                <c:pt idx="81">
                  <c:v>0.9539003067445796</c:v>
                </c:pt>
                <c:pt idx="82">
                  <c:v>0.97429492804253981</c:v>
                </c:pt>
                <c:pt idx="83">
                  <c:v>0.99512559131988343</c:v>
                </c:pt>
                <c:pt idx="84">
                  <c:v>1.0164016192605183</c:v>
                </c:pt>
                <c:pt idx="85">
                  <c:v>1.038132533869609</c:v>
                </c:pt>
                <c:pt idx="86">
                  <c:v>1.0603280607351138</c:v>
                </c:pt>
                <c:pt idx="87">
                  <c:v>1.0829981333804344</c:v>
                </c:pt>
                <c:pt idx="88">
                  <c:v>1.1061528977101267</c:v>
                </c:pt>
                <c:pt idx="89">
                  <c:v>1.129802716550661</c:v>
                </c:pt>
                <c:pt idx="90">
                  <c:v>1.1539581742882663</c:v>
                </c:pt>
                <c:pt idx="91">
                  <c:v>1.1786300816059316</c:v>
                </c:pt>
                <c:pt idx="92">
                  <c:v>1.203829480321686</c:v>
                </c:pt>
                <c:pt idx="93">
                  <c:v>1.2295676483303217</c:v>
                </c:pt>
                <c:pt idx="94">
                  <c:v>1.2558561046507737</c:v>
                </c:pt>
                <c:pt idx="95">
                  <c:v>1.2827066145814119</c:v>
                </c:pt>
                <c:pt idx="96">
                  <c:v>1.3101311949655561</c:v>
                </c:pt>
                <c:pt idx="97">
                  <c:v>1.3381421195695684</c:v>
                </c:pt>
                <c:pt idx="98">
                  <c:v>1.3667519245759305</c:v>
                </c:pt>
                <c:pt idx="99">
                  <c:v>1.3959734141937634</c:v>
                </c:pt>
                <c:pt idx="100">
                  <c:v>1.4258196663893044</c:v>
                </c:pt>
                <c:pt idx="101">
                  <c:v>1.4563040387388986</c:v>
                </c:pt>
                <c:pt idx="102">
                  <c:v>1.4874401744071333</c:v>
                </c:pt>
                <c:pt idx="103">
                  <c:v>1.5192420082527831</c:v>
                </c:pt>
                <c:pt idx="104">
                  <c:v>1.5517237730653033</c:v>
                </c:pt>
                <c:pt idx="105">
                  <c:v>1.5849000059346599</c:v>
                </c:pt>
                <c:pt idx="106">
                  <c:v>1.61878555475735</c:v>
                </c:pt>
                <c:pt idx="107">
                  <c:v>1.6533955848815196</c:v>
                </c:pt>
                <c:pt idx="108">
                  <c:v>1.6887455858941594</c:v>
                </c:pt>
                <c:pt idx="109">
                  <c:v>1.7248513785534079</c:v>
                </c:pt>
                <c:pt idx="110">
                  <c:v>1.7617291218690738</c:v>
                </c:pt>
                <c:pt idx="111">
                  <c:v>1.7993953203345374</c:v>
                </c:pt>
                <c:pt idx="112">
                  <c:v>1.8378668313132747</c:v>
                </c:pt>
                <c:pt idx="113">
                  <c:v>1.8771608725833053</c:v>
                </c:pt>
                <c:pt idx="114">
                  <c:v>1.9172950300429448</c:v>
                </c:pt>
                <c:pt idx="115">
                  <c:v>1.9582872655813044</c:v>
                </c:pt>
                <c:pt idx="116">
                  <c:v>2.0001559251170677</c:v>
                </c:pt>
                <c:pt idx="117">
                  <c:v>2.0429197468091354</c:v>
                </c:pt>
                <c:pt idx="118">
                  <c:v>2.086597869442818</c:v>
                </c:pt>
                <c:pt idx="119">
                  <c:v>2.1312098409953255</c:v>
                </c:pt>
                <c:pt idx="120">
                  <c:v>2.176775627384389</c:v>
                </c:pt>
                <c:pt idx="121">
                  <c:v>2.2233156214039336</c:v>
                </c:pt>
                <c:pt idx="122">
                  <c:v>2.2708506518507932</c:v>
                </c:pt>
                <c:pt idx="123">
                  <c:v>2.3194019928465601</c:v>
                </c:pt>
                <c:pt idx="124">
                  <c:v>2.368991373358738</c:v>
                </c:pt>
                <c:pt idx="125">
                  <c:v>2.4196409869254554</c:v>
                </c:pt>
                <c:pt idx="126">
                  <c:v>2.471373501588102</c:v>
                </c:pt>
                <c:pt idx="127">
                  <c:v>2.5242120700363238</c:v>
                </c:pt>
                <c:pt idx="128">
                  <c:v>2.5781803399699195</c:v>
                </c:pt>
                <c:pt idx="129">
                  <c:v>2.6333024646822789</c:v>
                </c:pt>
                <c:pt idx="130">
                  <c:v>2.6896031138700986</c:v>
                </c:pt>
                <c:pt idx="131">
                  <c:v>2.7471074846742098</c:v>
                </c:pt>
                <c:pt idx="132">
                  <c:v>2.8058413129564608</c:v>
                </c:pt>
                <c:pt idx="133">
                  <c:v>2.865830884817707</c:v>
                </c:pt>
                <c:pt idx="134">
                  <c:v>2.9271030483620524</c:v>
                </c:pt>
                <c:pt idx="135">
                  <c:v>2.9896852257126185</c:v>
                </c:pt>
                <c:pt idx="136">
                  <c:v>3.0536054252842098</c:v>
                </c:pt>
                <c:pt idx="137">
                  <c:v>3.1188922543183719</c:v>
                </c:pt>
                <c:pt idx="138">
                  <c:v>3.1855749316864554</c:v>
                </c:pt>
                <c:pt idx="139">
                  <c:v>3.2536833009664092</c:v>
                </c:pt>
                <c:pt idx="140">
                  <c:v>3.3232478437991588</c:v>
                </c:pt>
                <c:pt idx="141">
                  <c:v>3.3942996935305532</c:v>
                </c:pt>
                <c:pt idx="142">
                  <c:v>3.4668706491449686</c:v>
                </c:pt>
                <c:pt idx="143">
                  <c:v>3.540993189496827</c:v>
                </c:pt>
                <c:pt idx="144">
                  <c:v>3.6167004878463822</c:v>
                </c:pt>
                <c:pt idx="145">
                  <c:v>3.6940264267062854</c:v>
                </c:pt>
                <c:pt idx="146">
                  <c:v>3.7730056130055778</c:v>
                </c:pt>
                <c:pt idx="147">
                  <c:v>3.8536733935778837</c:v>
                </c:pt>
                <c:pt idx="148">
                  <c:v>3.9360658709807566</c:v>
                </c:pt>
                <c:pt idx="149">
                  <c:v>4.020219919653238</c:v>
                </c:pt>
                <c:pt idx="150">
                  <c:v>4.1061732024188746</c:v>
                </c:pt>
                <c:pt idx="151">
                  <c:v>4.1939641873415665</c:v>
                </c:pt>
                <c:pt idx="152">
                  <c:v>4.2836321649418103</c:v>
                </c:pt>
                <c:pt idx="153">
                  <c:v>4.3752172657810142</c:v>
                </c:pt>
                <c:pt idx="154">
                  <c:v>4.4687604784217818</c:v>
                </c:pt>
                <c:pt idx="155">
                  <c:v>4.5643036677721831</c:v>
                </c:pt>
                <c:pt idx="156">
                  <c:v>4.6618895938222407</c:v>
                </c:pt>
                <c:pt idx="157">
                  <c:v>4.7615619307809967</c:v>
                </c:pt>
                <c:pt idx="158">
                  <c:v>4.8633652866227361</c:v>
                </c:pt>
                <c:pt idx="159">
                  <c:v>4.9673452230511197</c:v>
                </c:pt>
              </c:numCache>
            </c:numRef>
          </c:yVal>
          <c:smooth val="1"/>
        </c:ser>
        <c:ser>
          <c:idx val="5"/>
          <c:order val="1"/>
          <c:tx>
            <c:strRef>
              <c:f>normpltsLR!$H$9</c:f>
              <c:strCache>
                <c:ptCount val="1"/>
                <c:pt idx="0">
                  <c:v>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normpltsLR!$I$9</c:f>
              <c:numCache>
                <c:formatCode>General</c:formatCode>
                <c:ptCount val="1"/>
                <c:pt idx="0">
                  <c:v>4.4230978590523753</c:v>
                </c:pt>
              </c:numCache>
            </c:numRef>
          </c:xVal>
          <c:yVal>
            <c:numRef>
              <c:f>normpltsLR!$J$9</c:f>
              <c:numCache>
                <c:formatCode>0.0000</c:formatCode>
                <c:ptCount val="1"/>
                <c:pt idx="0">
                  <c:v>4.9673452230511197</c:v>
                </c:pt>
              </c:numCache>
            </c:numRef>
          </c:yVal>
          <c:smooth val="1"/>
        </c:ser>
        <c:ser>
          <c:idx val="0"/>
          <c:order val="2"/>
          <c:tx>
            <c:v>vert line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xVal>
            <c:numRef>
              <c:f>normpltsLR!$J$17:$J$18</c:f>
              <c:numCache>
                <c:formatCode>General</c:formatCode>
                <c:ptCount val="2"/>
                <c:pt idx="0">
                  <c:v>0.21154892952619331</c:v>
                </c:pt>
                <c:pt idx="1">
                  <c:v>0.21154892952619331</c:v>
                </c:pt>
              </c:numCache>
            </c:numRef>
          </c:xVal>
          <c:yVal>
            <c:numRef>
              <c:f>normpltsLR!$K$17:$K$18</c:f>
              <c:numCache>
                <c:formatCode>0.0000</c:formatCode>
                <c:ptCount val="2"/>
                <c:pt idx="0">
                  <c:v>0.16831848749268291</c:v>
                </c:pt>
                <c:pt idx="1">
                  <c:v>4.9673452230511197</c:v>
                </c:pt>
              </c:numCache>
            </c:numRef>
          </c:yVal>
          <c:smooth val="1"/>
        </c:ser>
        <c:axId val="120422784"/>
        <c:axId val="120424320"/>
      </c:scatterChart>
      <c:valAx>
        <c:axId val="120422784"/>
        <c:scaling>
          <c:orientation val="minMax"/>
          <c:max val="6"/>
          <c:min val="-4"/>
        </c:scaling>
        <c:axPos val="b"/>
        <c:numFmt formatCode="General" sourceLinked="1"/>
        <c:tickLblPos val="none"/>
        <c:spPr>
          <a:ln w="3175">
            <a:solidFill>
              <a:srgbClr val="000000"/>
            </a:solidFill>
            <a:prstDash val="solid"/>
          </a:ln>
        </c:spPr>
        <c:crossAx val="120424320"/>
        <c:crossesAt val="1"/>
        <c:crossBetween val="midCat"/>
      </c:valAx>
      <c:valAx>
        <c:axId val="120424320"/>
        <c:scaling>
          <c:logBase val="10"/>
          <c:orientation val="minMax"/>
        </c:scaling>
        <c:axPos val="l"/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2784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4634162185337041"/>
          <c:y val="4.9661399548532742E-2"/>
          <c:w val="0.79822702829111125"/>
          <c:h val="0.81941309255079031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normplts!$U$8:$U$28</c:f>
              <c:numCache>
                <c:formatCode>0%</c:formatCode>
                <c:ptCount val="21"/>
                <c:pt idx="0">
                  <c:v>0.01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0.99</c:v>
                </c:pt>
              </c:numCache>
            </c:numRef>
          </c:xVal>
          <c:yVal>
            <c:numRef>
              <c:f>normplts!$V$8:$V$28</c:f>
              <c:numCache>
                <c:formatCode>0%</c:formatCode>
                <c:ptCount val="21"/>
                <c:pt idx="0">
                  <c:v>4.368958880944529E-2</c:v>
                </c:pt>
                <c:pt idx="1">
                  <c:v>0.15200000000000002</c:v>
                </c:pt>
                <c:pt idx="2">
                  <c:v>0.25315597265277245</c:v>
                </c:pt>
                <c:pt idx="3">
                  <c:v>0.33743520198968813</c:v>
                </c:pt>
                <c:pt idx="4">
                  <c:v>0.4111215217621158</c:v>
                </c:pt>
                <c:pt idx="5">
                  <c:v>0.47706171603516889</c:v>
                </c:pt>
                <c:pt idx="6">
                  <c:v>0.5368733466911676</c:v>
                </c:pt>
                <c:pt idx="7">
                  <c:v>0.59159110962715689</c:v>
                </c:pt>
                <c:pt idx="8">
                  <c:v>0.64192655758423522</c:v>
                </c:pt>
                <c:pt idx="9">
                  <c:v>0.68839248325030789</c:v>
                </c:pt>
                <c:pt idx="10">
                  <c:v>0.73136953788724635</c:v>
                </c:pt>
                <c:pt idx="11">
                  <c:v>0.77114460475214064</c:v>
                </c:pt>
                <c:pt idx="12">
                  <c:v>0.80793377770940744</c:v>
                </c:pt>
                <c:pt idx="13">
                  <c:v>0.84189599086507894</c:v>
                </c:pt>
                <c:pt idx="14">
                  <c:v>0.8731400935550786</c:v>
                </c:pt>
                <c:pt idx="15">
                  <c:v>0.90172616427433983</c:v>
                </c:pt>
                <c:pt idx="16">
                  <c:v>0.92765983778027761</c:v>
                </c:pt>
                <c:pt idx="17">
                  <c:v>0.95087461491362468</c:v>
                </c:pt>
                <c:pt idx="18">
                  <c:v>0.97118565565106707</c:v>
                </c:pt>
                <c:pt idx="19">
                  <c:v>0.98814554840478386</c:v>
                </c:pt>
                <c:pt idx="20">
                  <c:v>0.99837637493209286</c:v>
                </c:pt>
              </c:numCache>
            </c:numRef>
          </c:yVal>
        </c:ser>
        <c:ser>
          <c:idx val="1"/>
          <c:order val="1"/>
          <c:tx>
            <c:strRef>
              <c:f>normplts!$R$10</c:f>
              <c:strCache>
                <c:ptCount val="1"/>
                <c:pt idx="0">
                  <c:v> OR  = 9.5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xVal>
            <c:numRef>
              <c:f>normplts!$S$10</c:f>
              <c:numCache>
                <c:formatCode>0%</c:formatCode>
                <c:ptCount val="1"/>
                <c:pt idx="0">
                  <c:v>0.5</c:v>
                </c:pt>
              </c:numCache>
            </c:numRef>
          </c:xVal>
          <c:yVal>
            <c:numRef>
              <c:f>normplts!$T$10</c:f>
              <c:numCache>
                <c:formatCode>0%</c:formatCode>
                <c:ptCount val="1"/>
                <c:pt idx="0">
                  <c:v>0.35</c:v>
                </c:pt>
              </c:numCache>
            </c:numRef>
          </c:yVal>
        </c:ser>
        <c:ser>
          <c:idx val="2"/>
          <c:order val="2"/>
          <c:tx>
            <c:strRef>
              <c:f>normplts!$R$11</c:f>
              <c:strCache>
                <c:ptCount val="1"/>
                <c:pt idx="0">
                  <c:v> Comparing lowest 20%  with highest 3%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normplts!$S$11</c:f>
              <c:numCache>
                <c:formatCode>0%</c:formatCode>
                <c:ptCount val="1"/>
                <c:pt idx="0">
                  <c:v>0.5</c:v>
                </c:pt>
              </c:numCache>
            </c:numRef>
          </c:xVal>
          <c:yVal>
            <c:numRef>
              <c:f>normplts!$T$11</c:f>
              <c:numCache>
                <c:formatCode>0%</c:formatCode>
                <c:ptCount val="1"/>
                <c:pt idx="0">
                  <c:v>0.2</c:v>
                </c:pt>
              </c:numCache>
            </c:numRef>
          </c:yVal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normplts!$V$8:$V$28</c:f>
              <c:numCache>
                <c:formatCode>0%</c:formatCode>
                <c:ptCount val="21"/>
                <c:pt idx="0">
                  <c:v>4.368958880944529E-2</c:v>
                </c:pt>
                <c:pt idx="1">
                  <c:v>0.15200000000000002</c:v>
                </c:pt>
                <c:pt idx="2">
                  <c:v>0.25315597265277245</c:v>
                </c:pt>
                <c:pt idx="3">
                  <c:v>0.33743520198968813</c:v>
                </c:pt>
                <c:pt idx="4">
                  <c:v>0.4111215217621158</c:v>
                </c:pt>
                <c:pt idx="5">
                  <c:v>0.47706171603516889</c:v>
                </c:pt>
                <c:pt idx="6">
                  <c:v>0.5368733466911676</c:v>
                </c:pt>
                <c:pt idx="7">
                  <c:v>0.59159110962715689</c:v>
                </c:pt>
                <c:pt idx="8">
                  <c:v>0.64192655758423522</c:v>
                </c:pt>
                <c:pt idx="9">
                  <c:v>0.68839248325030789</c:v>
                </c:pt>
                <c:pt idx="10">
                  <c:v>0.73136953788724635</c:v>
                </c:pt>
                <c:pt idx="11">
                  <c:v>0.77114460475214064</c:v>
                </c:pt>
                <c:pt idx="12">
                  <c:v>0.80793377770940744</c:v>
                </c:pt>
                <c:pt idx="13">
                  <c:v>0.84189599086507894</c:v>
                </c:pt>
                <c:pt idx="14">
                  <c:v>0.8731400935550786</c:v>
                </c:pt>
                <c:pt idx="15">
                  <c:v>0.90172616427433983</c:v>
                </c:pt>
                <c:pt idx="16">
                  <c:v>0.92765983778027761</c:v>
                </c:pt>
                <c:pt idx="17">
                  <c:v>0.95087461491362468</c:v>
                </c:pt>
                <c:pt idx="18">
                  <c:v>0.97118565565106707</c:v>
                </c:pt>
                <c:pt idx="19">
                  <c:v>0.98814554840478386</c:v>
                </c:pt>
                <c:pt idx="20">
                  <c:v>0.99837637493209286</c:v>
                </c:pt>
              </c:numCache>
            </c:numRef>
          </c:xVal>
          <c:yVal>
            <c:numRef>
              <c:f>normplts!$W$8:$W$28</c:f>
              <c:numCache>
                <c:formatCode>General</c:formatCode>
                <c:ptCount val="21"/>
              </c:numCache>
            </c:numRef>
          </c:yVal>
        </c:ser>
        <c:ser>
          <c:idx val="4"/>
          <c:order val="4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normplts!$R$14:$S$14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normplts!$R$15:$S$15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</c:ser>
        <c:ser>
          <c:idx val="5"/>
          <c:order val="5"/>
          <c:tx>
            <c:strRef>
              <c:f>normplts!$R$16</c:f>
              <c:strCache>
                <c:ptCount val="1"/>
                <c:pt idx="0">
                  <c:v>Useless test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normplts!$T$16</c:f>
              <c:numCache>
                <c:formatCode>General</c:formatCode>
                <c:ptCount val="1"/>
                <c:pt idx="0">
                  <c:v>0.9</c:v>
                </c:pt>
              </c:numCache>
            </c:numRef>
          </c:xVal>
          <c:yVal>
            <c:numRef>
              <c:f>normplts!$S$16</c:f>
              <c:numCache>
                <c:formatCode>General</c:formatCode>
                <c:ptCount val="1"/>
                <c:pt idx="0">
                  <c:v>0.8</c:v>
                </c:pt>
              </c:numCache>
            </c:numRef>
          </c:y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normplts!$S$8</c:f>
              <c:numCache>
                <c:formatCode>General</c:formatCode>
                <c:ptCount val="1"/>
                <c:pt idx="0">
                  <c:v>0.1</c:v>
                </c:pt>
              </c:numCache>
            </c:numRef>
          </c:xVal>
          <c:yVal>
            <c:numRef>
              <c:f>normplts!$S$7</c:f>
              <c:numCache>
                <c:formatCode>General</c:formatCode>
                <c:ptCount val="1"/>
                <c:pt idx="0">
                  <c:v>0.25315597265277245</c:v>
                </c:pt>
              </c:numCache>
            </c:numRef>
          </c:yVal>
        </c:ser>
        <c:axId val="120636160"/>
        <c:axId val="120638464"/>
      </c:scatterChart>
      <c:valAx>
        <c:axId val="120636160"/>
        <c:scaling>
          <c:orientation val="minMax"/>
          <c:max val="1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False positive rate (1-specificity)</a:t>
                </a:r>
              </a:p>
            </c:rich>
          </c:tx>
          <c:layout>
            <c:manualLayout>
              <c:xMode val="edge"/>
              <c:yMode val="edge"/>
              <c:x val="0.28824856598297843"/>
              <c:y val="0.91196395166051392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38464"/>
        <c:crosses val="autoZero"/>
        <c:crossBetween val="midCat"/>
        <c:majorUnit val="0.1"/>
        <c:minorUnit val="0.1"/>
      </c:valAx>
      <c:valAx>
        <c:axId val="120638464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Detection rate (sensitivity)</a:t>
                </a:r>
              </a:p>
            </c:rich>
          </c:tx>
          <c:layout>
            <c:manualLayout>
              <c:xMode val="edge"/>
              <c:yMode val="edge"/>
              <c:x val="3.5476739584328405E-2"/>
              <c:y val="0.24379242567578779"/>
            </c:manualLayout>
          </c:layout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361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3.0516501880918704E-2"/>
          <c:y val="4.1667005753627549E-2"/>
          <c:w val="0.93192701897882524"/>
          <c:h val="0.75833950471602141"/>
        </c:manualLayout>
      </c:layout>
      <c:scatterChart>
        <c:scatterStyle val="lineMarker"/>
        <c:ser>
          <c:idx val="0"/>
          <c:order val="0"/>
          <c:tx>
            <c:v>Unaffected graph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normplts!$D$4:$D$163</c:f>
              <c:numCache>
                <c:formatCode>General</c:formatCode>
                <c:ptCount val="160"/>
                <c:pt idx="0">
                  <c:v>-4</c:v>
                </c:pt>
                <c:pt idx="1">
                  <c:v>-3.9</c:v>
                </c:pt>
                <c:pt idx="2">
                  <c:v>-3.85</c:v>
                </c:pt>
                <c:pt idx="3">
                  <c:v>-3.8000000000000003</c:v>
                </c:pt>
                <c:pt idx="4">
                  <c:v>-3.7500000000000004</c:v>
                </c:pt>
                <c:pt idx="5">
                  <c:v>-3.7000000000000006</c:v>
                </c:pt>
                <c:pt idx="6">
                  <c:v>-3.6500000000000008</c:v>
                </c:pt>
                <c:pt idx="7">
                  <c:v>-3.600000000000001</c:v>
                </c:pt>
                <c:pt idx="8">
                  <c:v>-3.5500000000000012</c:v>
                </c:pt>
                <c:pt idx="9">
                  <c:v>-3.5000000000000013</c:v>
                </c:pt>
                <c:pt idx="10">
                  <c:v>-3.4500000000000015</c:v>
                </c:pt>
                <c:pt idx="11">
                  <c:v>-3.4000000000000017</c:v>
                </c:pt>
                <c:pt idx="12">
                  <c:v>-3.3500000000000019</c:v>
                </c:pt>
                <c:pt idx="13">
                  <c:v>-3.300000000000002</c:v>
                </c:pt>
                <c:pt idx="14">
                  <c:v>-3.2500000000000022</c:v>
                </c:pt>
                <c:pt idx="15">
                  <c:v>-3.2000000000000024</c:v>
                </c:pt>
                <c:pt idx="16">
                  <c:v>-3.1500000000000026</c:v>
                </c:pt>
                <c:pt idx="17">
                  <c:v>-3.1000000000000028</c:v>
                </c:pt>
                <c:pt idx="18">
                  <c:v>-3.0500000000000029</c:v>
                </c:pt>
                <c:pt idx="19">
                  <c:v>-3.0000000000000031</c:v>
                </c:pt>
                <c:pt idx="20">
                  <c:v>-2.9500000000000033</c:v>
                </c:pt>
                <c:pt idx="21">
                  <c:v>-2.9000000000000035</c:v>
                </c:pt>
                <c:pt idx="22">
                  <c:v>-2.8500000000000036</c:v>
                </c:pt>
                <c:pt idx="23">
                  <c:v>-2.8000000000000038</c:v>
                </c:pt>
                <c:pt idx="24">
                  <c:v>-2.750000000000004</c:v>
                </c:pt>
                <c:pt idx="25">
                  <c:v>-2.7000000000000042</c:v>
                </c:pt>
                <c:pt idx="26">
                  <c:v>-2.6500000000000044</c:v>
                </c:pt>
                <c:pt idx="27">
                  <c:v>-2.6000000000000045</c:v>
                </c:pt>
                <c:pt idx="28">
                  <c:v>-2.5500000000000047</c:v>
                </c:pt>
                <c:pt idx="29">
                  <c:v>-2.5000000000000049</c:v>
                </c:pt>
                <c:pt idx="30">
                  <c:v>-2.4500000000000051</c:v>
                </c:pt>
                <c:pt idx="31">
                  <c:v>-2.4000000000000052</c:v>
                </c:pt>
                <c:pt idx="32">
                  <c:v>-2.3500000000000054</c:v>
                </c:pt>
                <c:pt idx="33">
                  <c:v>-2.3000000000000056</c:v>
                </c:pt>
                <c:pt idx="34">
                  <c:v>-2.2500000000000058</c:v>
                </c:pt>
                <c:pt idx="35">
                  <c:v>-2.200000000000006</c:v>
                </c:pt>
                <c:pt idx="36">
                  <c:v>-2.1500000000000061</c:v>
                </c:pt>
                <c:pt idx="37">
                  <c:v>-2.1000000000000063</c:v>
                </c:pt>
                <c:pt idx="38">
                  <c:v>-2.0500000000000065</c:v>
                </c:pt>
                <c:pt idx="39">
                  <c:v>-2.0000000000000067</c:v>
                </c:pt>
                <c:pt idx="40">
                  <c:v>-1.9500000000000066</c:v>
                </c:pt>
                <c:pt idx="41">
                  <c:v>-1.9000000000000066</c:v>
                </c:pt>
                <c:pt idx="42">
                  <c:v>-1.8500000000000065</c:v>
                </c:pt>
                <c:pt idx="43">
                  <c:v>-1.8000000000000065</c:v>
                </c:pt>
                <c:pt idx="44">
                  <c:v>-1.7500000000000064</c:v>
                </c:pt>
                <c:pt idx="45">
                  <c:v>-1.7000000000000064</c:v>
                </c:pt>
                <c:pt idx="46">
                  <c:v>-1.6500000000000064</c:v>
                </c:pt>
                <c:pt idx="47">
                  <c:v>-1.6000000000000063</c:v>
                </c:pt>
                <c:pt idx="48">
                  <c:v>-1.5500000000000063</c:v>
                </c:pt>
                <c:pt idx="49">
                  <c:v>-1.5000000000000062</c:v>
                </c:pt>
                <c:pt idx="50">
                  <c:v>-1.4500000000000062</c:v>
                </c:pt>
                <c:pt idx="51">
                  <c:v>-1.4000000000000061</c:v>
                </c:pt>
                <c:pt idx="52">
                  <c:v>-1.3500000000000061</c:v>
                </c:pt>
                <c:pt idx="53">
                  <c:v>-1.300000000000006</c:v>
                </c:pt>
                <c:pt idx="54">
                  <c:v>-1.250000000000006</c:v>
                </c:pt>
                <c:pt idx="55">
                  <c:v>-1.200000000000006</c:v>
                </c:pt>
                <c:pt idx="56">
                  <c:v>-1.1500000000000059</c:v>
                </c:pt>
                <c:pt idx="57">
                  <c:v>-1.1000000000000059</c:v>
                </c:pt>
                <c:pt idx="58">
                  <c:v>-1.0500000000000058</c:v>
                </c:pt>
                <c:pt idx="59">
                  <c:v>-1.0000000000000058</c:v>
                </c:pt>
                <c:pt idx="60">
                  <c:v>-0.95000000000000573</c:v>
                </c:pt>
                <c:pt idx="61">
                  <c:v>-0.90000000000000568</c:v>
                </c:pt>
                <c:pt idx="62">
                  <c:v>-0.85000000000000564</c:v>
                </c:pt>
                <c:pt idx="63">
                  <c:v>-0.8000000000000056</c:v>
                </c:pt>
                <c:pt idx="64">
                  <c:v>-0.75000000000000555</c:v>
                </c:pt>
                <c:pt idx="65">
                  <c:v>-0.70000000000000551</c:v>
                </c:pt>
                <c:pt idx="66">
                  <c:v>-0.65000000000000546</c:v>
                </c:pt>
                <c:pt idx="67">
                  <c:v>-0.60000000000000542</c:v>
                </c:pt>
                <c:pt idx="68">
                  <c:v>-0.55000000000000537</c:v>
                </c:pt>
                <c:pt idx="69">
                  <c:v>-0.50000000000000533</c:v>
                </c:pt>
                <c:pt idx="70">
                  <c:v>-0.45000000000000534</c:v>
                </c:pt>
                <c:pt idx="71">
                  <c:v>-0.40000000000000535</c:v>
                </c:pt>
                <c:pt idx="72">
                  <c:v>-0.35000000000000536</c:v>
                </c:pt>
                <c:pt idx="73">
                  <c:v>-0.30000000000000537</c:v>
                </c:pt>
                <c:pt idx="74">
                  <c:v>-0.25000000000000538</c:v>
                </c:pt>
                <c:pt idx="75">
                  <c:v>-0.2000000000000054</c:v>
                </c:pt>
                <c:pt idx="76">
                  <c:v>-0.15000000000000541</c:v>
                </c:pt>
                <c:pt idx="77">
                  <c:v>-0.1000000000000054</c:v>
                </c:pt>
                <c:pt idx="78">
                  <c:v>-5.0000000000005401E-2</c:v>
                </c:pt>
                <c:pt idx="79">
                  <c:v>-5.3984594572398237E-15</c:v>
                </c:pt>
                <c:pt idx="80">
                  <c:v>4.9999999999994604E-2</c:v>
                </c:pt>
                <c:pt idx="81">
                  <c:v>9.9999999999994607E-2</c:v>
                </c:pt>
                <c:pt idx="82">
                  <c:v>0.14999999999999461</c:v>
                </c:pt>
                <c:pt idx="83">
                  <c:v>0.19999999999999463</c:v>
                </c:pt>
                <c:pt idx="84">
                  <c:v>0.24999999999999462</c:v>
                </c:pt>
                <c:pt idx="85">
                  <c:v>0.2999999999999946</c:v>
                </c:pt>
                <c:pt idx="86">
                  <c:v>0.34999999999999459</c:v>
                </c:pt>
                <c:pt idx="87">
                  <c:v>0.39999999999999458</c:v>
                </c:pt>
                <c:pt idx="88">
                  <c:v>0.44999999999999457</c:v>
                </c:pt>
                <c:pt idx="89">
                  <c:v>0.49999999999999456</c:v>
                </c:pt>
                <c:pt idx="90">
                  <c:v>0.5499999999999946</c:v>
                </c:pt>
                <c:pt idx="91">
                  <c:v>0.59999999999999465</c:v>
                </c:pt>
                <c:pt idx="92">
                  <c:v>0.64999999999999469</c:v>
                </c:pt>
                <c:pt idx="93">
                  <c:v>0.69999999999999474</c:v>
                </c:pt>
                <c:pt idx="94">
                  <c:v>0.74999999999999478</c:v>
                </c:pt>
                <c:pt idx="95">
                  <c:v>0.79999999999999483</c:v>
                </c:pt>
                <c:pt idx="96">
                  <c:v>0.84999999999999487</c:v>
                </c:pt>
                <c:pt idx="97">
                  <c:v>0.89999999999999492</c:v>
                </c:pt>
                <c:pt idx="98">
                  <c:v>0.94999999999999496</c:v>
                </c:pt>
                <c:pt idx="99">
                  <c:v>0.999999999999995</c:v>
                </c:pt>
                <c:pt idx="100">
                  <c:v>1.0499999999999949</c:v>
                </c:pt>
                <c:pt idx="101">
                  <c:v>1.099999999999995</c:v>
                </c:pt>
                <c:pt idx="102">
                  <c:v>1.149999999999995</c:v>
                </c:pt>
                <c:pt idx="103">
                  <c:v>1.1999999999999951</c:v>
                </c:pt>
                <c:pt idx="104">
                  <c:v>1.2499999999999951</c:v>
                </c:pt>
                <c:pt idx="105">
                  <c:v>1.2999999999999952</c:v>
                </c:pt>
                <c:pt idx="106">
                  <c:v>1.3499999999999952</c:v>
                </c:pt>
                <c:pt idx="107">
                  <c:v>1.3999999999999952</c:v>
                </c:pt>
                <c:pt idx="108">
                  <c:v>1.4499999999999953</c:v>
                </c:pt>
                <c:pt idx="109">
                  <c:v>1.4999999999999953</c:v>
                </c:pt>
                <c:pt idx="110">
                  <c:v>1.5499999999999954</c:v>
                </c:pt>
                <c:pt idx="111">
                  <c:v>1.5999999999999954</c:v>
                </c:pt>
                <c:pt idx="112">
                  <c:v>1.6499999999999955</c:v>
                </c:pt>
                <c:pt idx="113">
                  <c:v>1.6999999999999955</c:v>
                </c:pt>
                <c:pt idx="114">
                  <c:v>1.7499999999999956</c:v>
                </c:pt>
                <c:pt idx="115">
                  <c:v>1.7999999999999956</c:v>
                </c:pt>
                <c:pt idx="116">
                  <c:v>1.8499999999999956</c:v>
                </c:pt>
                <c:pt idx="117">
                  <c:v>1.8999999999999957</c:v>
                </c:pt>
                <c:pt idx="118">
                  <c:v>1.9499999999999957</c:v>
                </c:pt>
                <c:pt idx="119">
                  <c:v>1.9999999999999958</c:v>
                </c:pt>
                <c:pt idx="120">
                  <c:v>2.0499999999999958</c:v>
                </c:pt>
                <c:pt idx="121">
                  <c:v>2.0999999999999956</c:v>
                </c:pt>
                <c:pt idx="122">
                  <c:v>2.1499999999999955</c:v>
                </c:pt>
                <c:pt idx="123">
                  <c:v>2.1999999999999953</c:v>
                </c:pt>
                <c:pt idx="124">
                  <c:v>2.2499999999999951</c:v>
                </c:pt>
                <c:pt idx="125">
                  <c:v>2.2999999999999949</c:v>
                </c:pt>
                <c:pt idx="126">
                  <c:v>2.3499999999999948</c:v>
                </c:pt>
                <c:pt idx="127">
                  <c:v>2.3999999999999946</c:v>
                </c:pt>
                <c:pt idx="128">
                  <c:v>2.4499999999999944</c:v>
                </c:pt>
                <c:pt idx="129">
                  <c:v>2.4999999999999942</c:v>
                </c:pt>
                <c:pt idx="130">
                  <c:v>2.549999999999994</c:v>
                </c:pt>
                <c:pt idx="131">
                  <c:v>2.5999999999999939</c:v>
                </c:pt>
                <c:pt idx="132">
                  <c:v>2.6499999999999937</c:v>
                </c:pt>
                <c:pt idx="133">
                  <c:v>2.6999999999999935</c:v>
                </c:pt>
                <c:pt idx="134">
                  <c:v>2.7499999999999933</c:v>
                </c:pt>
                <c:pt idx="135">
                  <c:v>2.7999999999999932</c:v>
                </c:pt>
                <c:pt idx="136">
                  <c:v>2.849999999999993</c:v>
                </c:pt>
                <c:pt idx="137">
                  <c:v>2.8999999999999928</c:v>
                </c:pt>
                <c:pt idx="138">
                  <c:v>2.9499999999999926</c:v>
                </c:pt>
                <c:pt idx="139">
                  <c:v>2.9999999999999925</c:v>
                </c:pt>
                <c:pt idx="140">
                  <c:v>3.0499999999999923</c:v>
                </c:pt>
                <c:pt idx="141">
                  <c:v>3.0999999999999921</c:v>
                </c:pt>
                <c:pt idx="142">
                  <c:v>3.1499999999999919</c:v>
                </c:pt>
                <c:pt idx="143">
                  <c:v>3.1999999999999917</c:v>
                </c:pt>
                <c:pt idx="144">
                  <c:v>3.2499999999999916</c:v>
                </c:pt>
                <c:pt idx="145">
                  <c:v>3.2999999999999914</c:v>
                </c:pt>
                <c:pt idx="146">
                  <c:v>3.3499999999999912</c:v>
                </c:pt>
                <c:pt idx="147">
                  <c:v>3.399999999999991</c:v>
                </c:pt>
                <c:pt idx="148">
                  <c:v>3.4499999999999909</c:v>
                </c:pt>
                <c:pt idx="149">
                  <c:v>3.4999999999999907</c:v>
                </c:pt>
                <c:pt idx="150">
                  <c:v>3.5499999999999905</c:v>
                </c:pt>
                <c:pt idx="151">
                  <c:v>3.5999999999999903</c:v>
                </c:pt>
                <c:pt idx="152">
                  <c:v>3.6499999999999901</c:v>
                </c:pt>
                <c:pt idx="153">
                  <c:v>3.69999999999999</c:v>
                </c:pt>
                <c:pt idx="154">
                  <c:v>3.7499999999999898</c:v>
                </c:pt>
                <c:pt idx="155">
                  <c:v>3.7999999999999896</c:v>
                </c:pt>
                <c:pt idx="156">
                  <c:v>3.8499999999999894</c:v>
                </c:pt>
                <c:pt idx="157">
                  <c:v>3.8999999999999893</c:v>
                </c:pt>
                <c:pt idx="158">
                  <c:v>3.9499999999999891</c:v>
                </c:pt>
                <c:pt idx="159">
                  <c:v>3.9999999999999889</c:v>
                </c:pt>
              </c:numCache>
            </c:numRef>
          </c:xVal>
          <c:yVal>
            <c:numRef>
              <c:f>normplts!$E$4:$E$163</c:f>
              <c:numCache>
                <c:formatCode>General</c:formatCode>
                <c:ptCount val="160"/>
                <c:pt idx="0">
                  <c:v>1.3383022576488534E-4</c:v>
                </c:pt>
                <c:pt idx="1">
                  <c:v>1.9865547139277269E-4</c:v>
                </c:pt>
                <c:pt idx="2">
                  <c:v>2.4112658022599321E-4</c:v>
                </c:pt>
                <c:pt idx="3">
                  <c:v>2.9194692579146E-4</c:v>
                </c:pt>
                <c:pt idx="4">
                  <c:v>3.525956823674447E-4</c:v>
                </c:pt>
                <c:pt idx="5">
                  <c:v>4.2478027055075062E-4</c:v>
                </c:pt>
                <c:pt idx="6">
                  <c:v>5.1046497434418408E-4</c:v>
                </c:pt>
                <c:pt idx="7">
                  <c:v>6.1190193011377016E-4</c:v>
                </c:pt>
                <c:pt idx="8">
                  <c:v>7.3166446283030753E-4</c:v>
                </c:pt>
                <c:pt idx="9">
                  <c:v>8.7268269504575614E-4</c:v>
                </c:pt>
                <c:pt idx="10">
                  <c:v>1.0382812956614056E-3</c:v>
                </c:pt>
                <c:pt idx="11">
                  <c:v>1.2322191684730119E-3</c:v>
                </c:pt>
                <c:pt idx="12">
                  <c:v>1.4587308046667368E-3</c:v>
                </c:pt>
                <c:pt idx="13">
                  <c:v>1.7225689390536689E-3</c:v>
                </c:pt>
                <c:pt idx="14">
                  <c:v>2.0290480572997534E-3</c:v>
                </c:pt>
                <c:pt idx="15">
                  <c:v>2.384088201464823E-3</c:v>
                </c:pt>
                <c:pt idx="16">
                  <c:v>2.7942584148794246E-3</c:v>
                </c:pt>
                <c:pt idx="17">
                  <c:v>3.2668190561998922E-3</c:v>
                </c:pt>
                <c:pt idx="18">
                  <c:v>3.8097620982217727E-3</c:v>
                </c:pt>
                <c:pt idx="19">
                  <c:v>4.4318484119379676E-3</c:v>
                </c:pt>
                <c:pt idx="20">
                  <c:v>5.1426409230538881E-3</c:v>
                </c:pt>
                <c:pt idx="21">
                  <c:v>5.9525324197757948E-3</c:v>
                </c:pt>
                <c:pt idx="22">
                  <c:v>6.8727666906139035E-3</c:v>
                </c:pt>
                <c:pt idx="23">
                  <c:v>7.9154515829798783E-3</c:v>
                </c:pt>
                <c:pt idx="24">
                  <c:v>9.0935625015909523E-3</c:v>
                </c:pt>
                <c:pt idx="25">
                  <c:v>1.0420934814422479E-2</c:v>
                </c:pt>
                <c:pt idx="26">
                  <c:v>1.191224360760504E-2</c:v>
                </c:pt>
                <c:pt idx="27">
                  <c:v>1.3582969233685453E-2</c:v>
                </c:pt>
                <c:pt idx="28">
                  <c:v>1.544934713439498E-2</c:v>
                </c:pt>
                <c:pt idx="29">
                  <c:v>1.7528300493568318E-2</c:v>
                </c:pt>
                <c:pt idx="30">
                  <c:v>1.9837354391795081E-2</c:v>
                </c:pt>
                <c:pt idx="31">
                  <c:v>2.2394530294842608E-2</c:v>
                </c:pt>
                <c:pt idx="32">
                  <c:v>2.5218219915194063E-2</c:v>
                </c:pt>
                <c:pt idx="33">
                  <c:v>2.8327037741600808E-2</c:v>
                </c:pt>
                <c:pt idx="34">
                  <c:v>3.1739651835667008E-2</c:v>
                </c:pt>
                <c:pt idx="35">
                  <c:v>3.547459284623096E-2</c:v>
                </c:pt>
                <c:pt idx="36">
                  <c:v>3.9550041589369693E-2</c:v>
                </c:pt>
                <c:pt idx="37">
                  <c:v>4.3983595980426601E-2</c:v>
                </c:pt>
                <c:pt idx="38">
                  <c:v>4.8792018579182105E-2</c:v>
                </c:pt>
                <c:pt idx="39">
                  <c:v>5.3990966513187334E-2</c:v>
                </c:pt>
                <c:pt idx="40">
                  <c:v>5.9594706068815291E-2</c:v>
                </c:pt>
                <c:pt idx="41">
                  <c:v>6.5615814774675763E-2</c:v>
                </c:pt>
                <c:pt idx="42">
                  <c:v>7.2064874336217111E-2</c:v>
                </c:pt>
                <c:pt idx="43">
                  <c:v>7.8950158300893233E-2</c:v>
                </c:pt>
                <c:pt idx="44">
                  <c:v>8.6277318826510532E-2</c:v>
                </c:pt>
                <c:pt idx="45">
                  <c:v>9.4049077376885878E-2</c:v>
                </c:pt>
                <c:pt idx="46">
                  <c:v>0.10226492456397691</c:v>
                </c:pt>
                <c:pt idx="47">
                  <c:v>0.11092083467945445</c:v>
                </c:pt>
                <c:pt idx="48">
                  <c:v>0.12000900069698442</c:v>
                </c:pt>
                <c:pt idx="49">
                  <c:v>0.12951759566589049</c:v>
                </c:pt>
                <c:pt idx="50">
                  <c:v>0.13943056644535901</c:v>
                </c:pt>
                <c:pt idx="51">
                  <c:v>0.14972746563574357</c:v>
                </c:pt>
                <c:pt idx="52">
                  <c:v>0.16038332734191826</c:v>
                </c:pt>
                <c:pt idx="53">
                  <c:v>0.171368592047806</c:v>
                </c:pt>
                <c:pt idx="54">
                  <c:v>0.18264908538902053</c:v>
                </c:pt>
                <c:pt idx="55">
                  <c:v>0.19418605498321151</c:v>
                </c:pt>
                <c:pt idx="56">
                  <c:v>0.20593626871997334</c:v>
                </c:pt>
                <c:pt idx="57">
                  <c:v>0.21785217703254914</c:v>
                </c:pt>
                <c:pt idx="58">
                  <c:v>0.2298821406842316</c:v>
                </c:pt>
                <c:pt idx="59">
                  <c:v>0.24197072451914192</c:v>
                </c:pt>
                <c:pt idx="60">
                  <c:v>0.25405905646918758</c:v>
                </c:pt>
                <c:pt idx="61">
                  <c:v>0.26608524989875343</c:v>
                </c:pt>
                <c:pt idx="62">
                  <c:v>0.27798488613099509</c:v>
                </c:pt>
                <c:pt idx="63">
                  <c:v>0.2896915527614814</c:v>
                </c:pt>
                <c:pt idx="64">
                  <c:v>0.30113743215480315</c:v>
                </c:pt>
                <c:pt idx="65">
                  <c:v>0.31225393336676005</c:v>
                </c:pt>
                <c:pt idx="66">
                  <c:v>0.3229723596679131</c:v>
                </c:pt>
                <c:pt idx="67">
                  <c:v>0.33322460289179856</c:v>
                </c:pt>
                <c:pt idx="68">
                  <c:v>0.34294385501938285</c:v>
                </c:pt>
                <c:pt idx="69">
                  <c:v>0.35206532676429853</c:v>
                </c:pt>
                <c:pt idx="70">
                  <c:v>0.36052696246164706</c:v>
                </c:pt>
                <c:pt idx="71">
                  <c:v>0.36827014030332245</c:v>
                </c:pt>
                <c:pt idx="72">
                  <c:v>0.37524034691693714</c:v>
                </c:pt>
                <c:pt idx="73">
                  <c:v>0.38138781546052347</c:v>
                </c:pt>
                <c:pt idx="74">
                  <c:v>0.38666811680284868</c:v>
                </c:pt>
                <c:pt idx="75">
                  <c:v>0.39104269397545544</c:v>
                </c:pt>
                <c:pt idx="76">
                  <c:v>0.3944793309078885</c:v>
                </c:pt>
                <c:pt idx="77">
                  <c:v>0.39695254747701153</c:v>
                </c:pt>
                <c:pt idx="78">
                  <c:v>0.39844391409476387</c:v>
                </c:pt>
                <c:pt idx="79">
                  <c:v>0.39894228040143265</c:v>
                </c:pt>
                <c:pt idx="80">
                  <c:v>0.3984439140947641</c:v>
                </c:pt>
                <c:pt idx="81">
                  <c:v>0.39695254747701197</c:v>
                </c:pt>
                <c:pt idx="82">
                  <c:v>0.39447933090788917</c:v>
                </c:pt>
                <c:pt idx="83">
                  <c:v>0.39104269397545627</c:v>
                </c:pt>
                <c:pt idx="84">
                  <c:v>0.38666811680284968</c:v>
                </c:pt>
                <c:pt idx="85">
                  <c:v>0.38138781546052464</c:v>
                </c:pt>
                <c:pt idx="86">
                  <c:v>0.37524034691693858</c:v>
                </c:pt>
                <c:pt idx="87">
                  <c:v>0.36827014030332406</c:v>
                </c:pt>
                <c:pt idx="88">
                  <c:v>0.36052696246164878</c:v>
                </c:pt>
                <c:pt idx="89">
                  <c:v>0.35206532676430041</c:v>
                </c:pt>
                <c:pt idx="90">
                  <c:v>0.3429438550193849</c:v>
                </c:pt>
                <c:pt idx="91">
                  <c:v>0.33322460289180067</c:v>
                </c:pt>
                <c:pt idx="92">
                  <c:v>0.32297235966791538</c:v>
                </c:pt>
                <c:pt idx="93">
                  <c:v>0.31225393336676238</c:v>
                </c:pt>
                <c:pt idx="94">
                  <c:v>0.30113743215480554</c:v>
                </c:pt>
                <c:pt idx="95">
                  <c:v>0.28969155276148389</c:v>
                </c:pt>
                <c:pt idx="96">
                  <c:v>0.27798488613099764</c:v>
                </c:pt>
                <c:pt idx="97">
                  <c:v>0.26608524989875604</c:v>
                </c:pt>
                <c:pt idx="98">
                  <c:v>0.25405905646919019</c:v>
                </c:pt>
                <c:pt idx="99">
                  <c:v>0.24197072451914453</c:v>
                </c:pt>
                <c:pt idx="100">
                  <c:v>0.22988214068423421</c:v>
                </c:pt>
                <c:pt idx="101">
                  <c:v>0.21785217703255175</c:v>
                </c:pt>
                <c:pt idx="102">
                  <c:v>0.20593626871997592</c:v>
                </c:pt>
                <c:pt idx="103">
                  <c:v>0.19418605498321406</c:v>
                </c:pt>
                <c:pt idx="104">
                  <c:v>0.182649085389023</c:v>
                </c:pt>
                <c:pt idx="105">
                  <c:v>0.17136859204780841</c:v>
                </c:pt>
                <c:pt idx="106">
                  <c:v>0.16038332734192062</c:v>
                </c:pt>
                <c:pt idx="107">
                  <c:v>0.14972746563574585</c:v>
                </c:pt>
                <c:pt idx="108">
                  <c:v>0.1394305664453612</c:v>
                </c:pt>
                <c:pt idx="109">
                  <c:v>0.12951759566589263</c:v>
                </c:pt>
                <c:pt idx="110">
                  <c:v>0.12000900069698645</c:v>
                </c:pt>
                <c:pt idx="111">
                  <c:v>0.11092083467945635</c:v>
                </c:pt>
                <c:pt idx="112">
                  <c:v>0.10226492456397877</c:v>
                </c:pt>
                <c:pt idx="113">
                  <c:v>9.4049077376887641E-2</c:v>
                </c:pt>
                <c:pt idx="114">
                  <c:v>8.6277318826512184E-2</c:v>
                </c:pt>
                <c:pt idx="115">
                  <c:v>7.8950158300894774E-2</c:v>
                </c:pt>
                <c:pt idx="116">
                  <c:v>7.2064874336218568E-2</c:v>
                </c:pt>
                <c:pt idx="117">
                  <c:v>6.5615814774677136E-2</c:v>
                </c:pt>
                <c:pt idx="118">
                  <c:v>5.9594706068816568E-2</c:v>
                </c:pt>
                <c:pt idx="119">
                  <c:v>5.3990966513188507E-2</c:v>
                </c:pt>
                <c:pt idx="120">
                  <c:v>4.8792018579183173E-2</c:v>
                </c:pt>
                <c:pt idx="121">
                  <c:v>4.3983595980427594E-2</c:v>
                </c:pt>
                <c:pt idx="122">
                  <c:v>3.9550041589370588E-2</c:v>
                </c:pt>
                <c:pt idx="123">
                  <c:v>3.5474592846231792E-2</c:v>
                </c:pt>
                <c:pt idx="124">
                  <c:v>3.1739651835667765E-2</c:v>
                </c:pt>
                <c:pt idx="125">
                  <c:v>2.8327037741601498E-2</c:v>
                </c:pt>
                <c:pt idx="126">
                  <c:v>2.5218219915194701E-2</c:v>
                </c:pt>
                <c:pt idx="127">
                  <c:v>2.2394530294843187E-2</c:v>
                </c:pt>
                <c:pt idx="128">
                  <c:v>1.9837354391795591E-2</c:v>
                </c:pt>
                <c:pt idx="129">
                  <c:v>1.7528300493568787E-2</c:v>
                </c:pt>
                <c:pt idx="130">
                  <c:v>1.5449347134395407E-2</c:v>
                </c:pt>
                <c:pt idx="131">
                  <c:v>1.3582969233685837E-2</c:v>
                </c:pt>
                <c:pt idx="132">
                  <c:v>1.1912243607605379E-2</c:v>
                </c:pt>
                <c:pt idx="133">
                  <c:v>1.0420934814422775E-2</c:v>
                </c:pt>
                <c:pt idx="134">
                  <c:v>9.0935625015912177E-3</c:v>
                </c:pt>
                <c:pt idx="135">
                  <c:v>7.9154515829801143E-3</c:v>
                </c:pt>
                <c:pt idx="136">
                  <c:v>6.8727666906141108E-3</c:v>
                </c:pt>
                <c:pt idx="137">
                  <c:v>5.9525324197759796E-3</c:v>
                </c:pt>
                <c:pt idx="138">
                  <c:v>5.1426409230540529E-3</c:v>
                </c:pt>
                <c:pt idx="139">
                  <c:v>4.431848411938109E-3</c:v>
                </c:pt>
                <c:pt idx="140">
                  <c:v>3.809762098221898E-3</c:v>
                </c:pt>
                <c:pt idx="141">
                  <c:v>3.2668190561999997E-3</c:v>
                </c:pt>
                <c:pt idx="142">
                  <c:v>2.7942584148795161E-3</c:v>
                </c:pt>
                <c:pt idx="143">
                  <c:v>2.3840882014649059E-3</c:v>
                </c:pt>
                <c:pt idx="144">
                  <c:v>2.0290480572998236E-3</c:v>
                </c:pt>
                <c:pt idx="145">
                  <c:v>1.7225689390537287E-3</c:v>
                </c:pt>
                <c:pt idx="146">
                  <c:v>1.4587308046667884E-3</c:v>
                </c:pt>
                <c:pt idx="147">
                  <c:v>1.232219168473057E-3</c:v>
                </c:pt>
                <c:pt idx="148">
                  <c:v>1.0382812956614435E-3</c:v>
                </c:pt>
                <c:pt idx="149">
                  <c:v>8.7268269504578867E-4</c:v>
                </c:pt>
                <c:pt idx="150">
                  <c:v>7.3166446283033551E-4</c:v>
                </c:pt>
                <c:pt idx="151">
                  <c:v>6.1190193011379358E-4</c:v>
                </c:pt>
                <c:pt idx="152">
                  <c:v>5.104649743442037E-4</c:v>
                </c:pt>
                <c:pt idx="153">
                  <c:v>4.2478027055076764E-4</c:v>
                </c:pt>
                <c:pt idx="154">
                  <c:v>3.5259568236745885E-4</c:v>
                </c:pt>
                <c:pt idx="155">
                  <c:v>2.919469257914716E-4</c:v>
                </c:pt>
                <c:pt idx="156">
                  <c:v>2.4112658022600329E-4</c:v>
                </c:pt>
                <c:pt idx="157">
                  <c:v>1.9865547139278098E-4</c:v>
                </c:pt>
                <c:pt idx="158">
                  <c:v>1.6325640876624909E-4</c:v>
                </c:pt>
                <c:pt idx="159">
                  <c:v>1.338302257648913E-4</c:v>
                </c:pt>
              </c:numCache>
            </c:numRef>
          </c:yVal>
        </c:ser>
        <c:ser>
          <c:idx val="1"/>
          <c:order val="1"/>
          <c:tx>
            <c:strRef>
              <c:f>normplts!$H$8</c:f>
              <c:strCache>
                <c:ptCount val="1"/>
                <c:pt idx="0">
                  <c:v>Affected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normplts!$B$4:$B$163</c:f>
              <c:numCache>
                <c:formatCode>General</c:formatCode>
                <c:ptCount val="160"/>
                <c:pt idx="0">
                  <c:v>-3.3830397188506707</c:v>
                </c:pt>
                <c:pt idx="1">
                  <c:v>-3.2830397188506706</c:v>
                </c:pt>
                <c:pt idx="2">
                  <c:v>-3.2330397188506708</c:v>
                </c:pt>
                <c:pt idx="3">
                  <c:v>-3.1830397188506709</c:v>
                </c:pt>
                <c:pt idx="4">
                  <c:v>-3.1330397188506711</c:v>
                </c:pt>
                <c:pt idx="5">
                  <c:v>-3.0830397188506713</c:v>
                </c:pt>
                <c:pt idx="6">
                  <c:v>-3.0330397188506715</c:v>
                </c:pt>
                <c:pt idx="7">
                  <c:v>-2.9830397188506717</c:v>
                </c:pt>
                <c:pt idx="8">
                  <c:v>-2.9330397188506718</c:v>
                </c:pt>
                <c:pt idx="9">
                  <c:v>-2.883039718850672</c:v>
                </c:pt>
                <c:pt idx="10">
                  <c:v>-2.8330397188506722</c:v>
                </c:pt>
                <c:pt idx="11">
                  <c:v>-2.7830397188506724</c:v>
                </c:pt>
                <c:pt idx="12">
                  <c:v>-2.7330397188506725</c:v>
                </c:pt>
                <c:pt idx="13">
                  <c:v>-2.6830397188506727</c:v>
                </c:pt>
                <c:pt idx="14">
                  <c:v>-2.6330397188506729</c:v>
                </c:pt>
                <c:pt idx="15">
                  <c:v>-2.5830397188506731</c:v>
                </c:pt>
                <c:pt idx="16">
                  <c:v>-2.5330397188506732</c:v>
                </c:pt>
                <c:pt idx="17">
                  <c:v>-2.4830397188506734</c:v>
                </c:pt>
                <c:pt idx="18">
                  <c:v>-2.4330397188506736</c:v>
                </c:pt>
                <c:pt idx="19">
                  <c:v>-2.3830397188506738</c:v>
                </c:pt>
                <c:pt idx="20">
                  <c:v>-2.333039718850674</c:v>
                </c:pt>
                <c:pt idx="21">
                  <c:v>-2.2830397188506741</c:v>
                </c:pt>
                <c:pt idx="22">
                  <c:v>-2.2330397188506743</c:v>
                </c:pt>
                <c:pt idx="23">
                  <c:v>-2.1830397188506745</c:v>
                </c:pt>
                <c:pt idx="24">
                  <c:v>-2.1330397188506747</c:v>
                </c:pt>
                <c:pt idx="25">
                  <c:v>-2.0830397188506748</c:v>
                </c:pt>
                <c:pt idx="26">
                  <c:v>-2.033039718850675</c:v>
                </c:pt>
                <c:pt idx="27">
                  <c:v>-1.9830397188506752</c:v>
                </c:pt>
                <c:pt idx="28">
                  <c:v>-1.9330397188506754</c:v>
                </c:pt>
                <c:pt idx="29">
                  <c:v>-1.8830397188506756</c:v>
                </c:pt>
                <c:pt idx="30">
                  <c:v>-1.8330397188506757</c:v>
                </c:pt>
                <c:pt idx="31">
                  <c:v>-1.7830397188506759</c:v>
                </c:pt>
                <c:pt idx="32">
                  <c:v>-1.7330397188506761</c:v>
                </c:pt>
                <c:pt idx="33">
                  <c:v>-1.6830397188506763</c:v>
                </c:pt>
                <c:pt idx="34">
                  <c:v>-1.6330397188506764</c:v>
                </c:pt>
                <c:pt idx="35">
                  <c:v>-1.5830397188506766</c:v>
                </c:pt>
                <c:pt idx="36">
                  <c:v>-1.5330397188506768</c:v>
                </c:pt>
                <c:pt idx="37">
                  <c:v>-1.483039718850677</c:v>
                </c:pt>
                <c:pt idx="38">
                  <c:v>-1.4330397188506772</c:v>
                </c:pt>
                <c:pt idx="39">
                  <c:v>-1.3830397188506773</c:v>
                </c:pt>
                <c:pt idx="40">
                  <c:v>-1.3330397188506773</c:v>
                </c:pt>
                <c:pt idx="41">
                  <c:v>-1.2830397188506772</c:v>
                </c:pt>
                <c:pt idx="42">
                  <c:v>-1.2330397188506772</c:v>
                </c:pt>
                <c:pt idx="43">
                  <c:v>-1.1830397188506772</c:v>
                </c:pt>
                <c:pt idx="44">
                  <c:v>-1.1330397188506771</c:v>
                </c:pt>
                <c:pt idx="45">
                  <c:v>-1.0830397188506771</c:v>
                </c:pt>
                <c:pt idx="46">
                  <c:v>-1.033039718850677</c:v>
                </c:pt>
                <c:pt idx="47">
                  <c:v>-0.98303971885067698</c:v>
                </c:pt>
                <c:pt idx="48">
                  <c:v>-0.93303971885067694</c:v>
                </c:pt>
                <c:pt idx="49">
                  <c:v>-0.88303971885067689</c:v>
                </c:pt>
                <c:pt idx="50">
                  <c:v>-0.83303971885067685</c:v>
                </c:pt>
                <c:pt idx="51">
                  <c:v>-0.7830397188506768</c:v>
                </c:pt>
                <c:pt idx="52">
                  <c:v>-0.73303971885067676</c:v>
                </c:pt>
                <c:pt idx="53">
                  <c:v>-0.68303971885067671</c:v>
                </c:pt>
                <c:pt idx="54">
                  <c:v>-0.63303971885067667</c:v>
                </c:pt>
                <c:pt idx="55">
                  <c:v>-0.58303971885067662</c:v>
                </c:pt>
                <c:pt idx="56">
                  <c:v>-0.53303971885067658</c:v>
                </c:pt>
                <c:pt idx="57">
                  <c:v>-0.48303971885067654</c:v>
                </c:pt>
                <c:pt idx="58">
                  <c:v>-0.43303971885067649</c:v>
                </c:pt>
                <c:pt idx="59">
                  <c:v>-0.38303971885067645</c:v>
                </c:pt>
                <c:pt idx="60">
                  <c:v>-0.3330397188506764</c:v>
                </c:pt>
                <c:pt idx="61">
                  <c:v>-0.28303971885067636</c:v>
                </c:pt>
                <c:pt idx="62">
                  <c:v>-0.23303971885067631</c:v>
                </c:pt>
                <c:pt idx="63">
                  <c:v>-0.18303971885067627</c:v>
                </c:pt>
                <c:pt idx="64">
                  <c:v>-0.13303971885067623</c:v>
                </c:pt>
                <c:pt idx="65">
                  <c:v>-8.3039718850676181E-2</c:v>
                </c:pt>
                <c:pt idx="66">
                  <c:v>-3.3039718850676136E-2</c:v>
                </c:pt>
                <c:pt idx="67">
                  <c:v>1.6960281149323908E-2</c:v>
                </c:pt>
                <c:pt idx="68">
                  <c:v>6.6960281149323952E-2</c:v>
                </c:pt>
                <c:pt idx="69">
                  <c:v>0.116960281149324</c:v>
                </c:pt>
                <c:pt idx="70">
                  <c:v>0.16696028114932399</c:v>
                </c:pt>
                <c:pt idx="71">
                  <c:v>0.21696028114932397</c:v>
                </c:pt>
                <c:pt idx="72">
                  <c:v>0.26696028114932396</c:v>
                </c:pt>
                <c:pt idx="73">
                  <c:v>0.31696028114932395</c:v>
                </c:pt>
                <c:pt idx="74">
                  <c:v>0.36696028114932394</c:v>
                </c:pt>
                <c:pt idx="75">
                  <c:v>0.41696028114932393</c:v>
                </c:pt>
                <c:pt idx="76">
                  <c:v>0.46696028114932392</c:v>
                </c:pt>
                <c:pt idx="77">
                  <c:v>0.51696028114932391</c:v>
                </c:pt>
                <c:pt idx="78">
                  <c:v>0.56696028114932395</c:v>
                </c:pt>
                <c:pt idx="79">
                  <c:v>0.61696028114932389</c:v>
                </c:pt>
                <c:pt idx="80">
                  <c:v>0.66696028114932393</c:v>
                </c:pt>
                <c:pt idx="81">
                  <c:v>0.71696028114932397</c:v>
                </c:pt>
                <c:pt idx="82">
                  <c:v>0.76696028114932391</c:v>
                </c:pt>
                <c:pt idx="83">
                  <c:v>0.81696028114932395</c:v>
                </c:pt>
                <c:pt idx="84">
                  <c:v>0.866960281149324</c:v>
                </c:pt>
                <c:pt idx="85">
                  <c:v>0.91696028114932393</c:v>
                </c:pt>
                <c:pt idx="86">
                  <c:v>0.96696028114932386</c:v>
                </c:pt>
                <c:pt idx="87">
                  <c:v>1.0169602811493239</c:v>
                </c:pt>
                <c:pt idx="88">
                  <c:v>1.066960281149324</c:v>
                </c:pt>
                <c:pt idx="89">
                  <c:v>1.116960281149324</c:v>
                </c:pt>
                <c:pt idx="90">
                  <c:v>1.1669602811493238</c:v>
                </c:pt>
                <c:pt idx="91">
                  <c:v>1.2169602811493241</c:v>
                </c:pt>
                <c:pt idx="92">
                  <c:v>1.2669602811493239</c:v>
                </c:pt>
                <c:pt idx="93">
                  <c:v>1.3169602811493242</c:v>
                </c:pt>
                <c:pt idx="94">
                  <c:v>1.366960281149324</c:v>
                </c:pt>
                <c:pt idx="95">
                  <c:v>1.4169602811493243</c:v>
                </c:pt>
                <c:pt idx="96">
                  <c:v>1.4669602811493241</c:v>
                </c:pt>
                <c:pt idx="97">
                  <c:v>1.5169602811493244</c:v>
                </c:pt>
                <c:pt idx="98">
                  <c:v>1.5669602811493242</c:v>
                </c:pt>
                <c:pt idx="99">
                  <c:v>1.6169602811493244</c:v>
                </c:pt>
                <c:pt idx="100">
                  <c:v>1.6669602811493243</c:v>
                </c:pt>
                <c:pt idx="101">
                  <c:v>1.7169602811493243</c:v>
                </c:pt>
                <c:pt idx="102">
                  <c:v>1.7669602811493244</c:v>
                </c:pt>
                <c:pt idx="103">
                  <c:v>1.8169602811493244</c:v>
                </c:pt>
                <c:pt idx="104">
                  <c:v>1.8669602811493244</c:v>
                </c:pt>
                <c:pt idx="105">
                  <c:v>1.9169602811493245</c:v>
                </c:pt>
                <c:pt idx="106">
                  <c:v>1.9669602811493245</c:v>
                </c:pt>
                <c:pt idx="107">
                  <c:v>2.0169602811493244</c:v>
                </c:pt>
                <c:pt idx="108">
                  <c:v>2.0669602811493246</c:v>
                </c:pt>
                <c:pt idx="109">
                  <c:v>2.1169602811493249</c:v>
                </c:pt>
                <c:pt idx="110">
                  <c:v>2.1669602811493247</c:v>
                </c:pt>
                <c:pt idx="111">
                  <c:v>2.2169602811493245</c:v>
                </c:pt>
                <c:pt idx="112">
                  <c:v>2.2669602811493248</c:v>
                </c:pt>
                <c:pt idx="113">
                  <c:v>2.3169602811493251</c:v>
                </c:pt>
                <c:pt idx="114">
                  <c:v>2.3669602811493249</c:v>
                </c:pt>
                <c:pt idx="115">
                  <c:v>2.4169602811493247</c:v>
                </c:pt>
                <c:pt idx="116">
                  <c:v>2.466960281149325</c:v>
                </c:pt>
                <c:pt idx="117">
                  <c:v>2.5169602811493252</c:v>
                </c:pt>
                <c:pt idx="118">
                  <c:v>2.5669602811493251</c:v>
                </c:pt>
                <c:pt idx="119">
                  <c:v>2.6169602811493249</c:v>
                </c:pt>
                <c:pt idx="120">
                  <c:v>2.6669602811493252</c:v>
                </c:pt>
                <c:pt idx="121">
                  <c:v>2.716960281149325</c:v>
                </c:pt>
                <c:pt idx="122">
                  <c:v>2.7669602811493248</c:v>
                </c:pt>
                <c:pt idx="123">
                  <c:v>2.8169602811493246</c:v>
                </c:pt>
                <c:pt idx="124">
                  <c:v>2.8669602811493244</c:v>
                </c:pt>
                <c:pt idx="125">
                  <c:v>2.9169602811493243</c:v>
                </c:pt>
                <c:pt idx="126">
                  <c:v>2.9669602811493241</c:v>
                </c:pt>
                <c:pt idx="127">
                  <c:v>3.0169602811493239</c:v>
                </c:pt>
                <c:pt idx="128">
                  <c:v>3.0669602811493237</c:v>
                </c:pt>
                <c:pt idx="129">
                  <c:v>3.1169602811493236</c:v>
                </c:pt>
                <c:pt idx="130">
                  <c:v>3.1669602811493234</c:v>
                </c:pt>
                <c:pt idx="131">
                  <c:v>3.2169602811493232</c:v>
                </c:pt>
                <c:pt idx="132">
                  <c:v>3.266960281149323</c:v>
                </c:pt>
                <c:pt idx="133">
                  <c:v>3.3169602811493228</c:v>
                </c:pt>
                <c:pt idx="134">
                  <c:v>3.3669602811493227</c:v>
                </c:pt>
                <c:pt idx="135">
                  <c:v>3.4169602811493225</c:v>
                </c:pt>
                <c:pt idx="136">
                  <c:v>3.4669602811493223</c:v>
                </c:pt>
                <c:pt idx="137">
                  <c:v>3.5169602811493221</c:v>
                </c:pt>
                <c:pt idx="138">
                  <c:v>3.566960281149322</c:v>
                </c:pt>
                <c:pt idx="139">
                  <c:v>3.6169602811493218</c:v>
                </c:pt>
                <c:pt idx="140">
                  <c:v>3.6669602811493216</c:v>
                </c:pt>
                <c:pt idx="141">
                  <c:v>3.7169602811493214</c:v>
                </c:pt>
                <c:pt idx="142">
                  <c:v>3.7669602811493212</c:v>
                </c:pt>
                <c:pt idx="143">
                  <c:v>3.8169602811493211</c:v>
                </c:pt>
                <c:pt idx="144">
                  <c:v>3.8669602811493209</c:v>
                </c:pt>
                <c:pt idx="145">
                  <c:v>3.9169602811493207</c:v>
                </c:pt>
                <c:pt idx="146">
                  <c:v>3.9669602811493205</c:v>
                </c:pt>
                <c:pt idx="147">
                  <c:v>4.0169602811493199</c:v>
                </c:pt>
                <c:pt idx="148">
                  <c:v>4.0669602811493206</c:v>
                </c:pt>
                <c:pt idx="149">
                  <c:v>4.1169602811493196</c:v>
                </c:pt>
                <c:pt idx="150">
                  <c:v>4.1669602811493203</c:v>
                </c:pt>
                <c:pt idx="151">
                  <c:v>4.2169602811493192</c:v>
                </c:pt>
                <c:pt idx="152">
                  <c:v>4.2669602811493199</c:v>
                </c:pt>
                <c:pt idx="153">
                  <c:v>4.3169602811493188</c:v>
                </c:pt>
                <c:pt idx="154">
                  <c:v>4.3669602811493196</c:v>
                </c:pt>
                <c:pt idx="155">
                  <c:v>4.4169602811493185</c:v>
                </c:pt>
                <c:pt idx="156">
                  <c:v>4.4669602811493192</c:v>
                </c:pt>
                <c:pt idx="157">
                  <c:v>4.5169602811493181</c:v>
                </c:pt>
                <c:pt idx="158">
                  <c:v>4.5669602811493188</c:v>
                </c:pt>
                <c:pt idx="159">
                  <c:v>4.6169602811493178</c:v>
                </c:pt>
              </c:numCache>
            </c:numRef>
          </c:xVal>
          <c:yVal>
            <c:numRef>
              <c:f>normplts!$C$4:$C$163</c:f>
              <c:numCache>
                <c:formatCode>General</c:formatCode>
                <c:ptCount val="160"/>
                <c:pt idx="0">
                  <c:v>1.3383022576488534E-4</c:v>
                </c:pt>
                <c:pt idx="1">
                  <c:v>1.9865547139277269E-4</c:v>
                </c:pt>
                <c:pt idx="2">
                  <c:v>2.4112658022599321E-4</c:v>
                </c:pt>
                <c:pt idx="3">
                  <c:v>2.9194692579146E-4</c:v>
                </c:pt>
                <c:pt idx="4">
                  <c:v>3.525956823674447E-4</c:v>
                </c:pt>
                <c:pt idx="5">
                  <c:v>4.2478027055075062E-4</c:v>
                </c:pt>
                <c:pt idx="6">
                  <c:v>5.1046497434418408E-4</c:v>
                </c:pt>
                <c:pt idx="7">
                  <c:v>6.1190193011377016E-4</c:v>
                </c:pt>
                <c:pt idx="8">
                  <c:v>7.3166446283030753E-4</c:v>
                </c:pt>
                <c:pt idx="9">
                  <c:v>8.7268269504575614E-4</c:v>
                </c:pt>
                <c:pt idx="10">
                  <c:v>1.0382812956614056E-3</c:v>
                </c:pt>
                <c:pt idx="11">
                  <c:v>1.2322191684730119E-3</c:v>
                </c:pt>
                <c:pt idx="12">
                  <c:v>1.4587308046667368E-3</c:v>
                </c:pt>
                <c:pt idx="13">
                  <c:v>1.7225689390536689E-3</c:v>
                </c:pt>
                <c:pt idx="14">
                  <c:v>2.0290480572997534E-3</c:v>
                </c:pt>
                <c:pt idx="15">
                  <c:v>2.384088201464823E-3</c:v>
                </c:pt>
                <c:pt idx="16">
                  <c:v>2.7942584148794246E-3</c:v>
                </c:pt>
                <c:pt idx="17">
                  <c:v>3.2668190561998922E-3</c:v>
                </c:pt>
                <c:pt idx="18">
                  <c:v>3.8097620982217727E-3</c:v>
                </c:pt>
                <c:pt idx="19">
                  <c:v>4.4318484119379676E-3</c:v>
                </c:pt>
                <c:pt idx="20">
                  <c:v>5.1426409230538881E-3</c:v>
                </c:pt>
                <c:pt idx="21">
                  <c:v>5.9525324197757948E-3</c:v>
                </c:pt>
                <c:pt idx="22">
                  <c:v>6.8727666906139035E-3</c:v>
                </c:pt>
                <c:pt idx="23">
                  <c:v>7.9154515829798783E-3</c:v>
                </c:pt>
                <c:pt idx="24">
                  <c:v>9.0935625015909523E-3</c:v>
                </c:pt>
                <c:pt idx="25">
                  <c:v>1.0420934814422479E-2</c:v>
                </c:pt>
                <c:pt idx="26">
                  <c:v>1.191224360760504E-2</c:v>
                </c:pt>
                <c:pt idx="27">
                  <c:v>1.3582969233685453E-2</c:v>
                </c:pt>
                <c:pt idx="28">
                  <c:v>1.544934713439498E-2</c:v>
                </c:pt>
                <c:pt idx="29">
                  <c:v>1.7528300493568318E-2</c:v>
                </c:pt>
                <c:pt idx="30">
                  <c:v>1.9837354391795081E-2</c:v>
                </c:pt>
                <c:pt idx="31">
                  <c:v>2.2394530294842608E-2</c:v>
                </c:pt>
                <c:pt idx="32">
                  <c:v>2.5218219915194063E-2</c:v>
                </c:pt>
                <c:pt idx="33">
                  <c:v>2.8327037741600808E-2</c:v>
                </c:pt>
                <c:pt idx="34">
                  <c:v>3.1739651835667008E-2</c:v>
                </c:pt>
                <c:pt idx="35">
                  <c:v>3.547459284623096E-2</c:v>
                </c:pt>
                <c:pt idx="36">
                  <c:v>3.9550041589369693E-2</c:v>
                </c:pt>
                <c:pt idx="37">
                  <c:v>4.3983595980426601E-2</c:v>
                </c:pt>
                <c:pt idx="38">
                  <c:v>4.8792018579182105E-2</c:v>
                </c:pt>
                <c:pt idx="39">
                  <c:v>5.3990966513187334E-2</c:v>
                </c:pt>
                <c:pt idx="40">
                  <c:v>5.9594706068815291E-2</c:v>
                </c:pt>
                <c:pt idx="41">
                  <c:v>6.5615814774675763E-2</c:v>
                </c:pt>
                <c:pt idx="42">
                  <c:v>7.2064874336217111E-2</c:v>
                </c:pt>
                <c:pt idx="43">
                  <c:v>7.8950158300893233E-2</c:v>
                </c:pt>
                <c:pt idx="44">
                  <c:v>8.6277318826510532E-2</c:v>
                </c:pt>
                <c:pt idx="45">
                  <c:v>9.4049077376885878E-2</c:v>
                </c:pt>
                <c:pt idx="46">
                  <c:v>0.10226492456397691</c:v>
                </c:pt>
                <c:pt idx="47">
                  <c:v>0.11092083467945445</c:v>
                </c:pt>
                <c:pt idx="48">
                  <c:v>0.12000900069698442</c:v>
                </c:pt>
                <c:pt idx="49">
                  <c:v>0.12951759566589049</c:v>
                </c:pt>
                <c:pt idx="50">
                  <c:v>0.13943056644535901</c:v>
                </c:pt>
                <c:pt idx="51">
                  <c:v>0.14972746563574357</c:v>
                </c:pt>
                <c:pt idx="52">
                  <c:v>0.16038332734191826</c:v>
                </c:pt>
                <c:pt idx="53">
                  <c:v>0.171368592047806</c:v>
                </c:pt>
                <c:pt idx="54">
                  <c:v>0.18264908538902053</c:v>
                </c:pt>
                <c:pt idx="55">
                  <c:v>0.19418605498321151</c:v>
                </c:pt>
                <c:pt idx="56">
                  <c:v>0.20593626871997334</c:v>
                </c:pt>
                <c:pt idx="57">
                  <c:v>0.21785217703254914</c:v>
                </c:pt>
                <c:pt idx="58">
                  <c:v>0.2298821406842316</c:v>
                </c:pt>
                <c:pt idx="59">
                  <c:v>0.24197072451914192</c:v>
                </c:pt>
                <c:pt idx="60">
                  <c:v>0.25405905646918758</c:v>
                </c:pt>
                <c:pt idx="61">
                  <c:v>0.26608524989875343</c:v>
                </c:pt>
                <c:pt idx="62">
                  <c:v>0.27798488613099509</c:v>
                </c:pt>
                <c:pt idx="63">
                  <c:v>0.2896915527614814</c:v>
                </c:pt>
                <c:pt idx="64">
                  <c:v>0.30113743215480315</c:v>
                </c:pt>
                <c:pt idx="65">
                  <c:v>0.31225393336676005</c:v>
                </c:pt>
                <c:pt idx="66">
                  <c:v>0.3229723596679131</c:v>
                </c:pt>
                <c:pt idx="67">
                  <c:v>0.33322460289179856</c:v>
                </c:pt>
                <c:pt idx="68">
                  <c:v>0.34294385501938285</c:v>
                </c:pt>
                <c:pt idx="69">
                  <c:v>0.35206532676429853</c:v>
                </c:pt>
                <c:pt idx="70">
                  <c:v>0.36052696246164706</c:v>
                </c:pt>
                <c:pt idx="71">
                  <c:v>0.36827014030332245</c:v>
                </c:pt>
                <c:pt idx="72">
                  <c:v>0.37524034691693714</c:v>
                </c:pt>
                <c:pt idx="73">
                  <c:v>0.38138781546052347</c:v>
                </c:pt>
                <c:pt idx="74">
                  <c:v>0.38666811680284868</c:v>
                </c:pt>
                <c:pt idx="75">
                  <c:v>0.39104269397545544</c:v>
                </c:pt>
                <c:pt idx="76">
                  <c:v>0.3944793309078885</c:v>
                </c:pt>
                <c:pt idx="77">
                  <c:v>0.39695254747701153</c:v>
                </c:pt>
                <c:pt idx="78">
                  <c:v>0.39844391409476387</c:v>
                </c:pt>
                <c:pt idx="79">
                  <c:v>0.39894228040143265</c:v>
                </c:pt>
                <c:pt idx="80">
                  <c:v>0.3984439140947641</c:v>
                </c:pt>
                <c:pt idx="81">
                  <c:v>0.39695254747701197</c:v>
                </c:pt>
                <c:pt idx="82">
                  <c:v>0.39447933090788917</c:v>
                </c:pt>
                <c:pt idx="83">
                  <c:v>0.39104269397545627</c:v>
                </c:pt>
                <c:pt idx="84">
                  <c:v>0.38666811680284968</c:v>
                </c:pt>
                <c:pt idx="85">
                  <c:v>0.38138781546052464</c:v>
                </c:pt>
                <c:pt idx="86">
                  <c:v>0.37524034691693858</c:v>
                </c:pt>
                <c:pt idx="87">
                  <c:v>0.36827014030332406</c:v>
                </c:pt>
                <c:pt idx="88">
                  <c:v>0.36052696246164878</c:v>
                </c:pt>
                <c:pt idx="89">
                  <c:v>0.35206532676430041</c:v>
                </c:pt>
                <c:pt idx="90">
                  <c:v>0.3429438550193849</c:v>
                </c:pt>
                <c:pt idx="91">
                  <c:v>0.33322460289180067</c:v>
                </c:pt>
                <c:pt idx="92">
                  <c:v>0.32297235966791538</c:v>
                </c:pt>
                <c:pt idx="93">
                  <c:v>0.31225393336676238</c:v>
                </c:pt>
                <c:pt idx="94">
                  <c:v>0.3011374321548056</c:v>
                </c:pt>
                <c:pt idx="95">
                  <c:v>0.28969155276148389</c:v>
                </c:pt>
                <c:pt idx="96">
                  <c:v>0.2779848861309977</c:v>
                </c:pt>
                <c:pt idx="97">
                  <c:v>0.26608524989875598</c:v>
                </c:pt>
                <c:pt idx="98">
                  <c:v>0.25405905646919025</c:v>
                </c:pt>
                <c:pt idx="99">
                  <c:v>0.24197072451914453</c:v>
                </c:pt>
                <c:pt idx="100">
                  <c:v>0.22988214068423421</c:v>
                </c:pt>
                <c:pt idx="101">
                  <c:v>0.21785217703255175</c:v>
                </c:pt>
                <c:pt idx="102">
                  <c:v>0.20593626871997592</c:v>
                </c:pt>
                <c:pt idx="103">
                  <c:v>0.19418605498321406</c:v>
                </c:pt>
                <c:pt idx="104">
                  <c:v>0.182649085389023</c:v>
                </c:pt>
                <c:pt idx="105">
                  <c:v>0.17136859204780841</c:v>
                </c:pt>
                <c:pt idx="106">
                  <c:v>0.16038332734192062</c:v>
                </c:pt>
                <c:pt idx="107">
                  <c:v>0.1497274656357459</c:v>
                </c:pt>
                <c:pt idx="108">
                  <c:v>0.1394305664453612</c:v>
                </c:pt>
                <c:pt idx="109">
                  <c:v>0.12951759566589258</c:v>
                </c:pt>
                <c:pt idx="110">
                  <c:v>0.12000900069698645</c:v>
                </c:pt>
                <c:pt idx="111">
                  <c:v>0.11092083467945642</c:v>
                </c:pt>
                <c:pt idx="112">
                  <c:v>0.10226492456397877</c:v>
                </c:pt>
                <c:pt idx="113">
                  <c:v>9.4049077376887599E-2</c:v>
                </c:pt>
                <c:pt idx="114">
                  <c:v>8.6277318826512184E-2</c:v>
                </c:pt>
                <c:pt idx="115">
                  <c:v>7.8950158300894802E-2</c:v>
                </c:pt>
                <c:pt idx="116">
                  <c:v>7.2064874336218568E-2</c:v>
                </c:pt>
                <c:pt idx="117">
                  <c:v>6.5615814774677095E-2</c:v>
                </c:pt>
                <c:pt idx="118">
                  <c:v>5.9594706068816568E-2</c:v>
                </c:pt>
                <c:pt idx="119">
                  <c:v>5.3990966513188528E-2</c:v>
                </c:pt>
                <c:pt idx="120">
                  <c:v>4.8792018579183173E-2</c:v>
                </c:pt>
                <c:pt idx="121">
                  <c:v>4.3983595980427594E-2</c:v>
                </c:pt>
                <c:pt idx="122">
                  <c:v>3.9550041589370588E-2</c:v>
                </c:pt>
                <c:pt idx="123">
                  <c:v>3.5474592846231792E-2</c:v>
                </c:pt>
                <c:pt idx="124">
                  <c:v>3.1739651835667765E-2</c:v>
                </c:pt>
                <c:pt idx="125">
                  <c:v>2.8327037741601498E-2</c:v>
                </c:pt>
                <c:pt idx="126">
                  <c:v>2.5218219915194701E-2</c:v>
                </c:pt>
                <c:pt idx="127">
                  <c:v>2.2394530294843187E-2</c:v>
                </c:pt>
                <c:pt idx="128">
                  <c:v>1.9837354391795591E-2</c:v>
                </c:pt>
                <c:pt idx="129">
                  <c:v>1.7528300493568787E-2</c:v>
                </c:pt>
                <c:pt idx="130">
                  <c:v>1.5449347134395407E-2</c:v>
                </c:pt>
                <c:pt idx="131">
                  <c:v>1.3582969233685837E-2</c:v>
                </c:pt>
                <c:pt idx="132">
                  <c:v>1.1912243607605379E-2</c:v>
                </c:pt>
                <c:pt idx="133">
                  <c:v>1.0420934814422775E-2</c:v>
                </c:pt>
                <c:pt idx="134">
                  <c:v>9.0935625015912177E-3</c:v>
                </c:pt>
                <c:pt idx="135">
                  <c:v>7.9154515829801143E-3</c:v>
                </c:pt>
                <c:pt idx="136">
                  <c:v>6.8727666906141108E-3</c:v>
                </c:pt>
                <c:pt idx="137">
                  <c:v>5.9525324197759796E-3</c:v>
                </c:pt>
                <c:pt idx="138">
                  <c:v>5.1426409230540529E-3</c:v>
                </c:pt>
                <c:pt idx="139">
                  <c:v>4.431848411938109E-3</c:v>
                </c:pt>
                <c:pt idx="140">
                  <c:v>3.809762098221898E-3</c:v>
                </c:pt>
                <c:pt idx="141">
                  <c:v>3.2668190561999997E-3</c:v>
                </c:pt>
                <c:pt idx="142">
                  <c:v>2.7942584148795161E-3</c:v>
                </c:pt>
                <c:pt idx="143">
                  <c:v>2.3840882014649059E-3</c:v>
                </c:pt>
                <c:pt idx="144">
                  <c:v>2.0290480572998236E-3</c:v>
                </c:pt>
                <c:pt idx="145">
                  <c:v>1.7225689390537287E-3</c:v>
                </c:pt>
                <c:pt idx="146">
                  <c:v>1.4587308046667884E-3</c:v>
                </c:pt>
                <c:pt idx="147">
                  <c:v>1.2322191684730579E-3</c:v>
                </c:pt>
                <c:pt idx="148">
                  <c:v>1.0382812956614424E-3</c:v>
                </c:pt>
                <c:pt idx="149">
                  <c:v>8.7268269504578943E-4</c:v>
                </c:pt>
                <c:pt idx="150">
                  <c:v>7.316644628303342E-4</c:v>
                </c:pt>
                <c:pt idx="151">
                  <c:v>6.1190193011379467E-4</c:v>
                </c:pt>
                <c:pt idx="152">
                  <c:v>5.1046497434420327E-4</c:v>
                </c:pt>
                <c:pt idx="153">
                  <c:v>4.2478027055076797E-4</c:v>
                </c:pt>
                <c:pt idx="154">
                  <c:v>3.525956823674582E-4</c:v>
                </c:pt>
                <c:pt idx="155">
                  <c:v>2.9194692579147214E-4</c:v>
                </c:pt>
                <c:pt idx="156">
                  <c:v>2.4112658022600286E-4</c:v>
                </c:pt>
                <c:pt idx="157">
                  <c:v>1.9865547139278134E-4</c:v>
                </c:pt>
                <c:pt idx="158">
                  <c:v>1.6325640876624879E-4</c:v>
                </c:pt>
                <c:pt idx="159">
                  <c:v>1.3383022576489152E-4</c:v>
                </c:pt>
              </c:numCache>
            </c:numRef>
          </c:yVal>
        </c:ser>
        <c:ser>
          <c:idx val="2"/>
          <c:order val="2"/>
          <c:tx>
            <c:strRef>
              <c:f>normplts!$H$8</c:f>
              <c:strCache>
                <c:ptCount val="1"/>
                <c:pt idx="0">
                  <c:v>Affected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normplts!$I$8</c:f>
              <c:numCache>
                <c:formatCode>General</c:formatCode>
                <c:ptCount val="1"/>
                <c:pt idx="0">
                  <c:v>4.6169602811493178</c:v>
                </c:pt>
              </c:numCache>
            </c:numRef>
          </c:xVal>
          <c:yVal>
            <c:numRef>
              <c:f>normplts!$J$8</c:f>
              <c:numCache>
                <c:formatCode>General</c:formatCode>
                <c:ptCount val="1"/>
                <c:pt idx="0">
                  <c:v>0.19947114020071632</c:v>
                </c:pt>
              </c:numCache>
            </c:numRef>
          </c:yVal>
        </c:ser>
        <c:ser>
          <c:idx val="3"/>
          <c:order val="3"/>
          <c:tx>
            <c:strRef>
              <c:f>normplts!$H$7</c:f>
              <c:strCache>
                <c:ptCount val="1"/>
                <c:pt idx="0">
                  <c:v>Unaffected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r"/>
            <c:showSerName val="1"/>
          </c:dLbls>
          <c:xVal>
            <c:numRef>
              <c:f>normplts!$I$7</c:f>
              <c:numCache>
                <c:formatCode>General</c:formatCode>
                <c:ptCount val="1"/>
                <c:pt idx="0">
                  <c:v>-4</c:v>
                </c:pt>
              </c:numCache>
            </c:numRef>
          </c:xVal>
          <c:yVal>
            <c:numRef>
              <c:f>normplts!$J$7</c:f>
              <c:numCache>
                <c:formatCode>General</c:formatCode>
                <c:ptCount val="1"/>
                <c:pt idx="0">
                  <c:v>0.19947114020071632</c:v>
                </c:pt>
              </c:numCache>
            </c:numRef>
          </c:yVal>
        </c:ser>
        <c:ser>
          <c:idx val="4"/>
          <c:order val="4"/>
          <c:tx>
            <c:v>line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normplts!$J$4:$J$5</c:f>
              <c:numCache>
                <c:formatCode>General</c:formatCode>
                <c:ptCount val="2"/>
                <c:pt idx="0">
                  <c:v>1.2815515655446004</c:v>
                </c:pt>
                <c:pt idx="1">
                  <c:v>1.2815515655446004</c:v>
                </c:pt>
              </c:numCache>
            </c:numRef>
          </c:xVal>
          <c:yVal>
            <c:numRef>
              <c:f>normplts!$K$4:$K$5</c:f>
              <c:numCache>
                <c:formatCode>General</c:formatCode>
                <c:ptCount val="2"/>
                <c:pt idx="0">
                  <c:v>0</c:v>
                </c:pt>
                <c:pt idx="1">
                  <c:v>0.47873073648171915</c:v>
                </c:pt>
              </c:numCache>
            </c:numRef>
          </c:yVal>
        </c:ser>
        <c:ser>
          <c:idx val="5"/>
          <c:order val="5"/>
          <c:tx>
            <c:strRef>
              <c:f>normplts!$H$4</c:f>
              <c:strCache>
                <c:ptCount val="1"/>
                <c:pt idx="0">
                  <c:v>FPR=10%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SerName val="1"/>
          </c:dLbls>
          <c:xVal>
            <c:numRef>
              <c:f>normplts!$J$5</c:f>
              <c:numCache>
                <c:formatCode>General</c:formatCode>
                <c:ptCount val="1"/>
                <c:pt idx="0">
                  <c:v>1.2815515655446004</c:v>
                </c:pt>
              </c:numCache>
            </c:numRef>
          </c:xVal>
          <c:yVal>
            <c:numRef>
              <c:f>normplts!$K$5</c:f>
              <c:numCache>
                <c:formatCode>General</c:formatCode>
                <c:ptCount val="1"/>
                <c:pt idx="0">
                  <c:v>0.47873073648171915</c:v>
                </c:pt>
              </c:numCache>
            </c:numRef>
          </c:yVal>
        </c:ser>
        <c:axId val="121972608"/>
        <c:axId val="121974144"/>
      </c:scatterChart>
      <c:valAx>
        <c:axId val="121972608"/>
        <c:scaling>
          <c:orientation val="minMax"/>
        </c:scaling>
        <c:axPos val="b"/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21974144"/>
        <c:crosses val="autoZero"/>
        <c:crossBetween val="midCat"/>
      </c:valAx>
      <c:valAx>
        <c:axId val="121974144"/>
        <c:scaling>
          <c:orientation val="minMax"/>
        </c:scaling>
        <c:axPos val="l"/>
        <c:numFmt formatCode="General" sourceLinked="1"/>
        <c:majorTickMark val="none"/>
        <c:tickLblPos val="none"/>
        <c:spPr>
          <a:ln w="9525">
            <a:noFill/>
          </a:ln>
        </c:spPr>
        <c:crossAx val="1219726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653803474986119"/>
          <c:y val="8.1140524646477197E-2"/>
          <c:w val="0.74769931892286601"/>
          <c:h val="0.78947537493869702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'Specified False Positive Rate'!$P$71:$P$89</c:f>
              <c:numCache>
                <c:formatCode>General</c:formatCode>
                <c:ptCount val="19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 formatCode="0%">
                  <c:v>0.49999999999999994</c:v>
                </c:pt>
                <c:pt idx="10" formatCode="0%">
                  <c:v>0.54999999999999993</c:v>
                </c:pt>
                <c:pt idx="11" formatCode="0%">
                  <c:v>0.6</c:v>
                </c:pt>
                <c:pt idx="12" formatCode="0%">
                  <c:v>0.65</c:v>
                </c:pt>
                <c:pt idx="13" formatCode="0%">
                  <c:v>0.70000000000000007</c:v>
                </c:pt>
                <c:pt idx="14" formatCode="0%">
                  <c:v>0.75000000000000011</c:v>
                </c:pt>
                <c:pt idx="15" formatCode="0%">
                  <c:v>0.80000000000000016</c:v>
                </c:pt>
                <c:pt idx="16" formatCode="0%">
                  <c:v>0.8500000000000002</c:v>
                </c:pt>
                <c:pt idx="17" formatCode="0%">
                  <c:v>0.90000000000000024</c:v>
                </c:pt>
                <c:pt idx="18" formatCode="0%">
                  <c:v>0.95000000000000029</c:v>
                </c:pt>
              </c:numCache>
            </c:numRef>
          </c:xVal>
          <c:yVal>
            <c:numRef>
              <c:f>'Specified False Positive Rate'!$Q$71:$Q$89</c:f>
              <c:numCache>
                <c:formatCode>0.00</c:formatCode>
                <c:ptCount val="19"/>
                <c:pt idx="0">
                  <c:v>0.99999999999999856</c:v>
                </c:pt>
                <c:pt idx="1">
                  <c:v>2.7712435059421683</c:v>
                </c:pt>
                <c:pt idx="2">
                  <c:v>5.5475477916969842</c:v>
                </c:pt>
                <c:pt idx="3">
                  <c:v>9.6960725782825854</c:v>
                </c:pt>
                <c:pt idx="4">
                  <c:v>15.756260196453789</c:v>
                </c:pt>
                <c:pt idx="5">
                  <c:v>24.521443987578976</c:v>
                </c:pt>
                <c:pt idx="6">
                  <c:v>37.176188845997842</c:v>
                </c:pt>
                <c:pt idx="7">
                  <c:v>55.527466120931798</c:v>
                </c:pt>
                <c:pt idx="8">
                  <c:v>82.405296398084971</c:v>
                </c:pt>
                <c:pt idx="9" formatCode="0">
                  <c:v>122.38473825142945</c:v>
                </c:pt>
                <c:pt idx="10" formatCode="0">
                  <c:v>183.14991904043839</c:v>
                </c:pt>
                <c:pt idx="11" formatCode="0">
                  <c:v>278.22205684442179</c:v>
                </c:pt>
                <c:pt idx="12" formatCode="0">
                  <c:v>432.80889506684969</c:v>
                </c:pt>
                <c:pt idx="13" formatCode="0">
                  <c:v>697.48900237174621</c:v>
                </c:pt>
                <c:pt idx="14" formatCode="0">
                  <c:v>1184.0370011205982</c:v>
                </c:pt>
                <c:pt idx="15" formatCode="0">
                  <c:v>2174.5768823306935</c:v>
                </c:pt>
                <c:pt idx="16" formatCode="0">
                  <c:v>4535.2528219648921</c:v>
                </c:pt>
                <c:pt idx="17" formatCode="0">
                  <c:v>11940.558782507087</c:v>
                </c:pt>
                <c:pt idx="18" formatCode="0">
                  <c:v>55111.810813573422</c:v>
                </c:pt>
              </c:numCache>
            </c:numRef>
          </c:yVal>
        </c:ser>
        <c:ser>
          <c:idx val="1"/>
          <c:order val="1"/>
          <c:tx>
            <c:strRef>
              <c:f>'Specified False Positive Rate'!$K$71</c:f>
              <c:strCache>
                <c:ptCount val="1"/>
                <c:pt idx="0">
                  <c:v> False positive rate of 5%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xVal>
            <c:numRef>
              <c:f>'Specified False Positive Rate'!$M$71</c:f>
              <c:numCache>
                <c:formatCode>0%</c:formatCode>
                <c:ptCount val="1"/>
                <c:pt idx="0">
                  <c:v>0.1</c:v>
                </c:pt>
              </c:numCache>
            </c:numRef>
          </c:xVal>
          <c:yVal>
            <c:numRef>
              <c:f>'Specified False Positive Rate'!$N$71</c:f>
              <c:numCache>
                <c:formatCode>0</c:formatCode>
                <c:ptCount val="1"/>
                <c:pt idx="0">
                  <c:v>55000</c:v>
                </c:pt>
              </c:numCache>
            </c:numRef>
          </c:yVal>
        </c:ser>
        <c:ser>
          <c:idx val="2"/>
          <c:order val="2"/>
          <c:tx>
            <c:strRef>
              <c:f>'Specified False Positive Rate'!$K$72</c:f>
              <c:strCache>
                <c:ptCount val="1"/>
                <c:pt idx="0">
                  <c:v> Comparing lowest 20%  with highest 20%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0852911677611892E-3"/>
                  <c:y val="-4.3175432486104448E-3"/>
                </c:manualLayout>
              </c:layout>
              <c:dLblPos val="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xVal>
            <c:numRef>
              <c:f>'Specified False Positive Rate'!$M$72</c:f>
              <c:numCache>
                <c:formatCode>0%</c:formatCode>
                <c:ptCount val="1"/>
                <c:pt idx="0">
                  <c:v>0.1</c:v>
                </c:pt>
              </c:numCache>
            </c:numRef>
          </c:xVal>
          <c:yVal>
            <c:numRef>
              <c:f>'Specified False Positive Rate'!$N$72</c:f>
              <c:numCache>
                <c:formatCode>0</c:formatCode>
                <c:ptCount val="1"/>
                <c:pt idx="0">
                  <c:v>4500</c:v>
                </c:pt>
              </c:numCache>
            </c:numRef>
          </c:yVal>
        </c:ser>
        <c:axId val="122176640"/>
        <c:axId val="122178560"/>
      </c:scatterChart>
      <c:valAx>
        <c:axId val="122176640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Detection Rate (Sensitivity) </a:t>
                </a:r>
              </a:p>
            </c:rich>
          </c:tx>
          <c:layout>
            <c:manualLayout>
              <c:xMode val="edge"/>
              <c:yMode val="edge"/>
              <c:x val="0.33701707350958832"/>
              <c:y val="0.92763365105677575"/>
            </c:manualLayout>
          </c:layout>
          <c:spPr>
            <a:noFill/>
            <a:ln w="25400">
              <a:noFill/>
            </a:ln>
          </c:spPr>
        </c:title>
        <c:numFmt formatCode="0%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78560"/>
        <c:crosses val="autoZero"/>
        <c:crossBetween val="midCat"/>
        <c:majorUnit val="0.1"/>
        <c:minorUnit val="0.05"/>
      </c:valAx>
      <c:valAx>
        <c:axId val="122178560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Odds Ratio</a:t>
                </a:r>
              </a:p>
            </c:rich>
          </c:tx>
          <c:layout>
            <c:manualLayout>
              <c:xMode val="edge"/>
              <c:yMode val="edge"/>
              <c:x val="1.2891307041555432E-2"/>
              <c:y val="0.3771939033936549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176640"/>
        <c:crosses val="autoZero"/>
        <c:crossBetween val="midCat"/>
        <c:min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xVal>
            <c:numRef>
              <c:f>'Specified False Positive Rate'!$T$4:$T$24</c:f>
            </c:numRef>
          </c:xVal>
          <c:yVal>
            <c:numRef>
              <c:f>'Specified False Positive Rate'!$V$4:$V$24</c:f>
            </c:numRef>
          </c:yVal>
        </c:ser>
        <c:ser>
          <c:idx val="1"/>
          <c:order val="1"/>
          <c:tx>
            <c:v>'Specified False Positive Rate'!#REF!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x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2"/>
          <c:order val="2"/>
          <c:tx>
            <c:v>'Specified False Positive Rate'!#REF!</c:v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122053376"/>
        <c:axId val="122055680"/>
      </c:scatterChart>
      <c:valAx>
        <c:axId val="122053376"/>
        <c:scaling>
          <c:orientation val="minMax"/>
          <c:max val="1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False positive rate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55680"/>
        <c:crosses val="autoZero"/>
        <c:crossBetween val="midCat"/>
        <c:majorUnit val="0.1"/>
        <c:minorUnit val="0.1"/>
      </c:valAx>
      <c:valAx>
        <c:axId val="122055680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Detection rate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533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5925954727204011"/>
          <c:y val="8.7719486104299665E-2"/>
          <c:w val="0.74444579073674544"/>
          <c:h val="0.77631745202305225"/>
        </c:manualLayout>
      </c:layout>
      <c:scatterChart>
        <c:scatterStyle val="lineMarker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'Specified Detection Rate'!$O$71:$O$89</c:f>
              <c:numCache>
                <c:formatCode>General</c:formatCode>
                <c:ptCount val="19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0.8500000000000002</c:v>
                </c:pt>
                <c:pt idx="18">
                  <c:v>0.8500000000000002</c:v>
                </c:pt>
              </c:numCache>
            </c:numRef>
          </c:xVal>
          <c:yVal>
            <c:numRef>
              <c:f>'Specified Detection Rate'!$Q$71:$Q$89</c:f>
              <c:numCache>
                <c:formatCode>0.00</c:formatCode>
                <c:ptCount val="19"/>
                <c:pt idx="0">
                  <c:v>4535.2528219648921</c:v>
                </c:pt>
                <c:pt idx="1">
                  <c:v>1178.2978207192859</c:v>
                </c:pt>
                <c:pt idx="2">
                  <c:v>500.4365032040406</c:v>
                </c:pt>
                <c:pt idx="3">
                  <c:v>260.30487443911767</c:v>
                </c:pt>
                <c:pt idx="4">
                  <c:v>151.1293976614491</c:v>
                </c:pt>
                <c:pt idx="5">
                  <c:v>93.87031444532208</c:v>
                </c:pt>
                <c:pt idx="6">
                  <c:v>60.933456284410717</c:v>
                </c:pt>
                <c:pt idx="7">
                  <c:v>40.733410725980704</c:v>
                </c:pt>
                <c:pt idx="8">
                  <c:v>27.756398648012453</c:v>
                </c:pt>
                <c:pt idx="9">
                  <c:v>19.127820369401324</c:v>
                </c:pt>
                <c:pt idx="10">
                  <c:v>13.241320629386694</c:v>
                </c:pt>
                <c:pt idx="11">
                  <c:v>9.1488930678786726</c:v>
                </c:pt>
                <c:pt idx="12">
                  <c:v>6.2659030427612974</c:v>
                </c:pt>
                <c:pt idx="13">
                  <c:v>4.2185656636302538</c:v>
                </c:pt>
                <c:pt idx="14">
                  <c:v>2.7606587856784053</c:v>
                </c:pt>
                <c:pt idx="15">
                  <c:v>1.7259470350963075</c:v>
                </c:pt>
                <c:pt idx="16">
                  <c:v>0.99999999999999856</c:v>
                </c:pt>
                <c:pt idx="17">
                  <c:v>0.99999999999999856</c:v>
                </c:pt>
                <c:pt idx="18">
                  <c:v>0.99999999999999856</c:v>
                </c:pt>
              </c:numCache>
            </c:numRef>
          </c:yVal>
        </c:ser>
        <c:ser>
          <c:idx val="1"/>
          <c:order val="1"/>
          <c:tx>
            <c:strRef>
              <c:f>'Specified Detection Rate'!$K$71</c:f>
              <c:strCache>
                <c:ptCount val="1"/>
                <c:pt idx="0">
                  <c:v> Detection rate of 85%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xVal>
            <c:numRef>
              <c:f>'Specified Detection Rate'!$M$71</c:f>
              <c:numCache>
                <c:formatCode>0%</c:formatCode>
                <c:ptCount val="1"/>
                <c:pt idx="0">
                  <c:v>0.7</c:v>
                </c:pt>
              </c:numCache>
            </c:numRef>
          </c:xVal>
          <c:yVal>
            <c:numRef>
              <c:f>'Specified Detection Rate'!$N$71</c:f>
              <c:numCache>
                <c:formatCode>0</c:formatCode>
                <c:ptCount val="1"/>
                <c:pt idx="0">
                  <c:v>4500</c:v>
                </c:pt>
              </c:numCache>
            </c:numRef>
          </c:yVal>
        </c:ser>
        <c:ser>
          <c:idx val="2"/>
          <c:order val="2"/>
          <c:tx>
            <c:strRef>
              <c:f>'Specified Detection Rate'!$K$72</c:f>
              <c:strCache>
                <c:ptCount val="1"/>
                <c:pt idx="0">
                  <c:v> Comparing lowest 20%  with highest 20%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061721469569998E-2"/>
                  <c:y val="-1.0339046221775668E-2"/>
                </c:manualLayout>
              </c:layout>
              <c:dLblPos val="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xVal>
            <c:numRef>
              <c:f>'Specified Detection Rate'!$M$72</c:f>
              <c:numCache>
                <c:formatCode>0%</c:formatCode>
                <c:ptCount val="1"/>
                <c:pt idx="0">
                  <c:v>0.7</c:v>
                </c:pt>
              </c:numCache>
            </c:numRef>
          </c:xVal>
          <c:yVal>
            <c:numRef>
              <c:f>'Specified Detection Rate'!$N$72</c:f>
              <c:numCache>
                <c:formatCode>0</c:formatCode>
                <c:ptCount val="1"/>
                <c:pt idx="0">
                  <c:v>500</c:v>
                </c:pt>
              </c:numCache>
            </c:numRef>
          </c:yVal>
        </c:ser>
        <c:axId val="150172800"/>
        <c:axId val="150174720"/>
      </c:scatterChart>
      <c:valAx>
        <c:axId val="150172800"/>
        <c:scaling>
          <c:orientation val="minMax"/>
          <c:max val="1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False Positive Rate (1- specificity)</a:t>
                </a:r>
              </a:p>
            </c:rich>
          </c:tx>
          <c:layout>
            <c:manualLayout>
              <c:xMode val="edge"/>
              <c:yMode val="edge"/>
              <c:x val="0.29259313808795484"/>
              <c:y val="0.92763358567909071"/>
            </c:manualLayout>
          </c:layout>
          <c:spPr>
            <a:noFill/>
            <a:ln w="25400">
              <a:noFill/>
            </a:ln>
          </c:spPr>
        </c:title>
        <c:numFmt formatCode="0%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174720"/>
        <c:crosses val="autoZero"/>
        <c:crossBetween val="midCat"/>
        <c:majorUnit val="0.1"/>
        <c:minorUnit val="0.05"/>
      </c:valAx>
      <c:valAx>
        <c:axId val="150174720"/>
        <c:scaling>
          <c:logBase val="10"/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Odds Ratio</a:t>
                </a:r>
              </a:p>
            </c:rich>
          </c:tx>
          <c:layout>
            <c:manualLayout>
              <c:xMode val="edge"/>
              <c:yMode val="edge"/>
              <c:x val="1.2963046885326386E-2"/>
              <c:y val="0.377193878372565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172800"/>
        <c:crosses val="autoZero"/>
        <c:crossBetween val="midCat"/>
        <c:minorUnit val="1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lineMarker"/>
        <c:ser>
          <c:idx val="0"/>
          <c:order val="0"/>
          <c:xVal>
            <c:numRef>
              <c:f>'Specified False Positive Rate'!$T$4:$T$24</c:f>
            </c:numRef>
          </c:xVal>
          <c:yVal>
            <c:numRef>
              <c:f>'Specified False Positive Rate'!$V$4:$V$24</c:f>
            </c:numRef>
          </c:yVal>
        </c:ser>
        <c:ser>
          <c:idx val="1"/>
          <c:order val="1"/>
          <c:tx>
            <c:v>'Specified False Positive Rate'!#REF!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SerName val="1"/>
          </c:dLbls>
          <c:x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2"/>
          <c:order val="2"/>
          <c:tx>
            <c:v>'Specified False Positive Rate'!#REF!</c:v>
          </c:tx>
          <c:spPr>
            <a:ln w="28575">
              <a:noFill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SerName val="1"/>
          </c:dLbls>
          <c:x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'Specified False Positive Rate'!#REF!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150221952"/>
        <c:axId val="150224256"/>
      </c:scatterChart>
      <c:valAx>
        <c:axId val="150221952"/>
        <c:scaling>
          <c:orientation val="minMax"/>
          <c:max val="1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False positive rate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224256"/>
        <c:crosses val="autoZero"/>
        <c:crossBetween val="midCat"/>
        <c:majorUnit val="0.1"/>
        <c:minorUnit val="0.1"/>
      </c:valAx>
      <c:valAx>
        <c:axId val="150224256"/>
        <c:scaling>
          <c:orientation val="minMax"/>
          <c:max val="1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Detection rate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0221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102</xdr:row>
      <xdr:rowOff>152400</xdr:rowOff>
    </xdr:from>
    <xdr:to>
      <xdr:col>14</xdr:col>
      <xdr:colOff>19050</xdr:colOff>
      <xdr:row>114</xdr:row>
      <xdr:rowOff>171450</xdr:rowOff>
    </xdr:to>
    <xdr:graphicFrame macro="">
      <xdr:nvGraphicFramePr>
        <xdr:cNvPr id="1027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87</xdr:row>
      <xdr:rowOff>47625</xdr:rowOff>
    </xdr:from>
    <xdr:to>
      <xdr:col>14</xdr:col>
      <xdr:colOff>9525</xdr:colOff>
      <xdr:row>98</xdr:row>
      <xdr:rowOff>171450</xdr:rowOff>
    </xdr:to>
    <xdr:graphicFrame macro="">
      <xdr:nvGraphicFramePr>
        <xdr:cNvPr id="102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</xdr:colOff>
      <xdr:row>98</xdr:row>
      <xdr:rowOff>171450</xdr:rowOff>
    </xdr:from>
    <xdr:to>
      <xdr:col>14</xdr:col>
      <xdr:colOff>0</xdr:colOff>
      <xdr:row>110</xdr:row>
      <xdr:rowOff>180975</xdr:rowOff>
    </xdr:to>
    <xdr:graphicFrame macro="">
      <xdr:nvGraphicFramePr>
        <xdr:cNvPr id="102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88</xdr:row>
      <xdr:rowOff>104775</xdr:rowOff>
    </xdr:from>
    <xdr:to>
      <xdr:col>19</xdr:col>
      <xdr:colOff>133350</xdr:colOff>
      <xdr:row>110</xdr:row>
      <xdr:rowOff>133350</xdr:rowOff>
    </xdr:to>
    <xdr:graphicFrame macro="">
      <xdr:nvGraphicFramePr>
        <xdr:cNvPr id="6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97</xdr:row>
      <xdr:rowOff>57150</xdr:rowOff>
    </xdr:from>
    <xdr:to>
      <xdr:col>5</xdr:col>
      <xdr:colOff>676275</xdr:colOff>
      <xdr:row>98</xdr:row>
      <xdr:rowOff>95250</xdr:rowOff>
    </xdr:to>
    <xdr:sp macro="" textlink="">
      <xdr:nvSpPr>
        <xdr:cNvPr id="6184" name="Line 2"/>
        <xdr:cNvSpPr>
          <a:spLocks noChangeShapeType="1"/>
        </xdr:cNvSpPr>
      </xdr:nvSpPr>
      <xdr:spPr bwMode="auto">
        <a:xfrm>
          <a:off x="990600" y="3114675"/>
          <a:ext cx="809625" cy="228600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lg" len="lg"/>
        </a:ln>
      </xdr:spPr>
    </xdr:sp>
    <xdr:clientData/>
  </xdr:twoCellAnchor>
  <xdr:twoCellAnchor>
    <xdr:from>
      <xdr:col>7</xdr:col>
      <xdr:colOff>123825</xdr:colOff>
      <xdr:row>97</xdr:row>
      <xdr:rowOff>38100</xdr:rowOff>
    </xdr:from>
    <xdr:to>
      <xdr:col>8</xdr:col>
      <xdr:colOff>400050</xdr:colOff>
      <xdr:row>98</xdr:row>
      <xdr:rowOff>104775</xdr:rowOff>
    </xdr:to>
    <xdr:sp macro="" textlink="">
      <xdr:nvSpPr>
        <xdr:cNvPr id="6185" name="Line 3"/>
        <xdr:cNvSpPr>
          <a:spLocks noChangeShapeType="1"/>
        </xdr:cNvSpPr>
      </xdr:nvSpPr>
      <xdr:spPr bwMode="auto">
        <a:xfrm flipH="1">
          <a:off x="2628900" y="3095625"/>
          <a:ext cx="847725" cy="25717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lg" len="lg"/>
        </a:ln>
      </xdr:spPr>
    </xdr:sp>
    <xdr:clientData/>
  </xdr:twoCellAnchor>
  <xdr:twoCellAnchor>
    <xdr:from>
      <xdr:col>3</xdr:col>
      <xdr:colOff>19050</xdr:colOff>
      <xdr:row>87</xdr:row>
      <xdr:rowOff>47625</xdr:rowOff>
    </xdr:from>
    <xdr:to>
      <xdr:col>10</xdr:col>
      <xdr:colOff>57150</xdr:colOff>
      <xdr:row>93</xdr:row>
      <xdr:rowOff>47625</xdr:rowOff>
    </xdr:to>
    <xdr:graphicFrame macro="">
      <xdr:nvGraphicFramePr>
        <xdr:cNvPr id="618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68</xdr:row>
      <xdr:rowOff>0</xdr:rowOff>
    </xdr:from>
    <xdr:to>
      <xdr:col>18</xdr:col>
      <xdr:colOff>323850</xdr:colOff>
      <xdr:row>90</xdr:row>
      <xdr:rowOff>0</xdr:rowOff>
    </xdr:to>
    <xdr:graphicFrame macro="">
      <xdr:nvGraphicFramePr>
        <xdr:cNvPr id="2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92</xdr:row>
      <xdr:rowOff>0</xdr:rowOff>
    </xdr:from>
    <xdr:to>
      <xdr:col>29</xdr:col>
      <xdr:colOff>0</xdr:colOff>
      <xdr:row>92</xdr:row>
      <xdr:rowOff>0</xdr:rowOff>
    </xdr:to>
    <xdr:graphicFrame macro="">
      <xdr:nvGraphicFramePr>
        <xdr:cNvPr id="20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68</xdr:row>
      <xdr:rowOff>9525</xdr:rowOff>
    </xdr:from>
    <xdr:to>
      <xdr:col>18</xdr:col>
      <xdr:colOff>295275</xdr:colOff>
      <xdr:row>90</xdr:row>
      <xdr:rowOff>9525</xdr:rowOff>
    </xdr:to>
    <xdr:graphicFrame macro="">
      <xdr:nvGraphicFramePr>
        <xdr:cNvPr id="71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92</xdr:row>
      <xdr:rowOff>0</xdr:rowOff>
    </xdr:from>
    <xdr:to>
      <xdr:col>29</xdr:col>
      <xdr:colOff>0</xdr:colOff>
      <xdr:row>92</xdr:row>
      <xdr:rowOff>0</xdr:rowOff>
    </xdr:to>
    <xdr:graphicFrame macro="">
      <xdr:nvGraphicFramePr>
        <xdr:cNvPr id="71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23</xdr:row>
      <xdr:rowOff>9525</xdr:rowOff>
    </xdr:from>
    <xdr:to>
      <xdr:col>18</xdr:col>
      <xdr:colOff>485775</xdr:colOff>
      <xdr:row>42</xdr:row>
      <xdr:rowOff>152400</xdr:rowOff>
    </xdr:to>
    <xdr:graphicFrame macro="">
      <xdr:nvGraphicFramePr>
        <xdr:cNvPr id="9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I22"/>
  <sheetViews>
    <sheetView showGridLines="0" showRowColHeaders="0" tabSelected="1" zoomScale="120" zoomScaleNormal="120" workbookViewId="0">
      <selection activeCell="C19" sqref="C19:F20"/>
    </sheetView>
  </sheetViews>
  <sheetFormatPr defaultRowHeight="12.75"/>
  <cols>
    <col min="2" max="2" width="20.7109375" customWidth="1"/>
    <col min="3" max="3" width="12.85546875" customWidth="1"/>
    <col min="4" max="4" width="24.5703125" customWidth="1"/>
    <col min="6" max="6" width="3" customWidth="1"/>
    <col min="7" max="7" width="20.28515625" customWidth="1"/>
    <col min="9" max="9" width="19.7109375" customWidth="1"/>
  </cols>
  <sheetData>
    <row r="2" spans="2:9" ht="13.5" thickBot="1"/>
    <row r="3" spans="2:9" ht="24" thickBot="1">
      <c r="C3" s="74" t="s">
        <v>39</v>
      </c>
      <c r="D3" s="75"/>
      <c r="E3" s="75"/>
      <c r="F3" s="76"/>
    </row>
    <row r="5" spans="2:9" ht="15.75">
      <c r="B5" s="13" t="s">
        <v>46</v>
      </c>
    </row>
    <row r="8" spans="2:9">
      <c r="B8" t="s">
        <v>71</v>
      </c>
      <c r="E8" t="s">
        <v>47</v>
      </c>
    </row>
    <row r="9" spans="2:9">
      <c r="E9" t="s">
        <v>13</v>
      </c>
    </row>
    <row r="10" spans="2:9">
      <c r="E10" t="s">
        <v>11</v>
      </c>
    </row>
    <row r="11" spans="2:9">
      <c r="E11" t="s">
        <v>58</v>
      </c>
    </row>
    <row r="12" spans="2:9">
      <c r="B12" t="s">
        <v>40</v>
      </c>
    </row>
    <row r="14" spans="2:9" ht="84" customHeight="1">
      <c r="B14" s="48" t="s">
        <v>48</v>
      </c>
      <c r="C14" s="27"/>
      <c r="D14" s="48" t="s">
        <v>49</v>
      </c>
      <c r="E14" s="27"/>
      <c r="F14" s="27"/>
      <c r="G14" s="48" t="s">
        <v>50</v>
      </c>
      <c r="I14" s="48" t="s">
        <v>66</v>
      </c>
    </row>
    <row r="18" spans="2:6" ht="13.5" thickBot="1">
      <c r="D18" s="19"/>
      <c r="E18" s="19"/>
    </row>
    <row r="19" spans="2:6" ht="15">
      <c r="B19" s="52"/>
      <c r="C19" s="77" t="s">
        <v>73</v>
      </c>
      <c r="D19" s="78"/>
      <c r="E19" s="78"/>
      <c r="F19" s="79"/>
    </row>
    <row r="20" spans="2:6" ht="13.5" thickBot="1">
      <c r="C20" s="80"/>
      <c r="D20" s="81"/>
      <c r="E20" s="81"/>
      <c r="F20" s="82"/>
    </row>
    <row r="21" spans="2:6">
      <c r="D21" s="47"/>
      <c r="E21" s="5"/>
      <c r="F21" s="58"/>
    </row>
    <row r="22" spans="2:6">
      <c r="D22" s="47"/>
      <c r="E22" s="19"/>
    </row>
  </sheetData>
  <sheetProtection password="D8B0" sheet="1" objects="1" scenarios="1"/>
  <mergeCells count="2">
    <mergeCell ref="C3:F3"/>
    <mergeCell ref="C19:F20"/>
  </mergeCells>
  <phoneticPr fontId="4" type="noConversion"/>
  <hyperlinks>
    <hyperlink ref="B14" location="'Specified Odds Ratio'!A1" display="Graphs Detection Rate according to False Positive Rate for a specified Odds Ratio"/>
    <hyperlink ref="D14" location="'Specified False Positive Rate'!A1" display="Tabulates and graphs Relative Odds according to Detection Rate for a specified False Positive Rate"/>
    <hyperlink ref="G14" location="'Specified Detection Rate'!A1" display="Tabulates and graphs Relative Odds according to False Positive Rate for a specified Detection Rate"/>
    <hyperlink ref="I14" location="'Likelihood Ratio'!A1" display="Likelihood ratio  for an individual test result in sd units (or centiles)  for a specified odds ratio"/>
  </hyperlinks>
  <pageMargins left="0.34" right="0.21" top="0.69" bottom="0.66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78"/>
  <sheetViews>
    <sheetView showGridLines="0" showRowColHeaders="0" topLeftCell="C82" workbookViewId="0">
      <selection activeCell="D85" sqref="D85:E87"/>
    </sheetView>
  </sheetViews>
  <sheetFormatPr defaultRowHeight="12.75"/>
  <cols>
    <col min="1" max="1" width="9.140625" style="4" hidden="1" customWidth="1"/>
    <col min="2" max="2" width="4.85546875" style="4" hidden="1" customWidth="1"/>
    <col min="3" max="3" width="2.85546875" style="4" customWidth="1"/>
    <col min="4" max="4" width="9.42578125" style="4" customWidth="1"/>
    <col min="5" max="5" width="4.5703125" style="4" customWidth="1"/>
    <col min="6" max="6" width="10.140625" style="5" customWidth="1"/>
    <col min="7" max="7" width="10.5703125" style="4" customWidth="1"/>
    <col min="8" max="8" width="8.5703125" style="4" customWidth="1"/>
    <col min="9" max="9" width="6.85546875" style="4" customWidth="1"/>
    <col min="10" max="10" width="10.140625" style="4" customWidth="1"/>
    <col min="11" max="11" width="7.85546875" style="4" customWidth="1"/>
    <col min="12" max="12" width="10.140625" style="4" customWidth="1"/>
    <col min="13" max="13" width="3.7109375" style="4" customWidth="1"/>
    <col min="14" max="15" width="4.7109375" style="4" customWidth="1"/>
    <col min="16" max="16" width="13.140625" style="4" customWidth="1"/>
    <col min="17" max="17" width="11.85546875" style="4" customWidth="1"/>
    <col min="18" max="18" width="11.5703125" style="4" customWidth="1"/>
    <col min="19" max="19" width="3.140625" customWidth="1"/>
    <col min="22" max="22" width="12" customWidth="1"/>
  </cols>
  <sheetData>
    <row r="1" spans="2:28" hidden="1"/>
    <row r="2" spans="2:28" hidden="1">
      <c r="I2" s="4" t="s">
        <v>0</v>
      </c>
      <c r="K2" s="4" t="s">
        <v>1</v>
      </c>
      <c r="N2" s="4" t="s">
        <v>16</v>
      </c>
      <c r="O2" s="4" t="s">
        <v>8</v>
      </c>
    </row>
    <row r="3" spans="2:28" hidden="1">
      <c r="B3" s="5" t="s">
        <v>2</v>
      </c>
      <c r="C3" s="5" t="s">
        <v>11</v>
      </c>
      <c r="D3" s="5"/>
      <c r="E3" s="5" t="s">
        <v>3</v>
      </c>
      <c r="G3" s="5" t="s">
        <v>3</v>
      </c>
      <c r="H3" s="5"/>
      <c r="I3" s="5" t="s">
        <v>4</v>
      </c>
      <c r="J3" s="5" t="s">
        <v>5</v>
      </c>
      <c r="K3" s="4" t="s">
        <v>6</v>
      </c>
      <c r="L3" s="4" t="s">
        <v>7</v>
      </c>
      <c r="N3" s="4" t="s">
        <v>8</v>
      </c>
      <c r="O3" s="4" t="s">
        <v>14</v>
      </c>
      <c r="T3" t="s">
        <v>20</v>
      </c>
      <c r="U3" t="s">
        <v>3</v>
      </c>
      <c r="V3" t="s">
        <v>18</v>
      </c>
      <c r="W3" t="s">
        <v>20</v>
      </c>
      <c r="X3" t="s">
        <v>3</v>
      </c>
      <c r="Y3" t="s">
        <v>18</v>
      </c>
      <c r="AA3" t="s">
        <v>59</v>
      </c>
      <c r="AB3" t="s">
        <v>60</v>
      </c>
    </row>
    <row r="4" spans="2:28" hidden="1">
      <c r="B4" s="5"/>
      <c r="C4" s="12">
        <v>0.01</v>
      </c>
      <c r="D4" s="5"/>
      <c r="E4" s="5">
        <f>+E5</f>
        <v>1.6448536269514715</v>
      </c>
      <c r="G4" s="5" t="s">
        <v>9</v>
      </c>
      <c r="H4" s="5"/>
      <c r="I4" s="5" t="s">
        <v>10</v>
      </c>
      <c r="J4" s="5" t="s">
        <v>10</v>
      </c>
      <c r="T4">
        <v>0.01</v>
      </c>
      <c r="U4" s="5">
        <f>NORMSINV(1-T4)</f>
        <v>2.3263478740408408</v>
      </c>
      <c r="V4">
        <f>IF($Q$60 &gt; 0,1-NORMSDIST(U4-$Q$60),"")</f>
        <v>2.8503964874786347E-2</v>
      </c>
      <c r="W4">
        <f>IF($Q$60 &gt;0, NORMSDIST(X4),"")</f>
        <v>2.984807338776286E-3</v>
      </c>
      <c r="X4">
        <f>+IF($Q$60 &gt; 0,NORMSINV(Y4)-$Q$60,"")</f>
        <v>-2.7494457330932276</v>
      </c>
      <c r="Y4">
        <v>0.01</v>
      </c>
      <c r="AA4">
        <f>IF($Q$60 &gt; 0,EXP($Q$60*U4-$Q$60^2/2),"")</f>
        <v>2.446765396043229</v>
      </c>
      <c r="AB4">
        <f>IF($Q$60 &gt; 0,EXP($Q$60*X4-$Q$60^2/2),"")</f>
        <v>0.28570641898702925</v>
      </c>
    </row>
    <row r="5" spans="2:28" hidden="1">
      <c r="B5" s="6">
        <v>0.05</v>
      </c>
      <c r="C5" s="6">
        <v>0.05</v>
      </c>
      <c r="D5" s="5">
        <f>IF(C5&gt;B5-0.01,C5,D4)</f>
        <v>0.05</v>
      </c>
      <c r="E5" s="5">
        <f>NORMSINV(1-B5)</f>
        <v>1.6448536269514715</v>
      </c>
      <c r="G5" s="7">
        <f>-NORMSINV(1-C5)+E5</f>
        <v>0</v>
      </c>
      <c r="H5" s="5"/>
      <c r="I5" s="6">
        <f>+N85-0.0001</f>
        <v>0.19990000000000002</v>
      </c>
      <c r="J5" s="6">
        <f>1-N86</f>
        <v>0.98</v>
      </c>
      <c r="K5" s="4">
        <f>NORMDIST(NORMSINV(I5),G5,1,TRUE)</f>
        <v>0.19990000000000019</v>
      </c>
      <c r="L5" s="4">
        <f>NORMDIST(NORMSINV(J5),G5,1,TRUE)</f>
        <v>0.98</v>
      </c>
      <c r="N5" s="8">
        <f>+(1-L5)/(1-J5)/K5*I5</f>
        <v>0.99999999999999911</v>
      </c>
      <c r="O5" s="8">
        <f>+EXP(G5)</f>
        <v>1</v>
      </c>
      <c r="T5" s="14">
        <v>0.05</v>
      </c>
      <c r="U5" s="5">
        <f>NORMSINV(1-T5)</f>
        <v>1.6448536269514715</v>
      </c>
      <c r="V5">
        <f t="shared" ref="V5:V24" si="0">IF($Q$60 &gt; 0,1-NORMSDIST(U5-$Q$60),"")</f>
        <v>0.1109</v>
      </c>
      <c r="W5">
        <f t="shared" ref="W5:W24" si="1">IF($Q$60 &gt;0, NORMSDIST(X5),"")</f>
        <v>1.9322292635675878E-2</v>
      </c>
      <c r="X5">
        <f t="shared" ref="X5:X24" si="2">+IF($Q$60 &gt; 0,NORMSINV(Y5)-$Q$60,"")</f>
        <v>-2.0679514860038593</v>
      </c>
      <c r="Y5" s="14">
        <v>0.05</v>
      </c>
      <c r="AA5">
        <f t="shared" ref="AA5:AA26" si="3">IF($Q$60 &gt; 0,EXP($Q$60*U5-$Q$60^2/2),"")</f>
        <v>1.8338693780313398</v>
      </c>
      <c r="AB5">
        <f t="shared" ref="AB5:AB26" si="4">IF($Q$60 &gt; 0,EXP($Q$60*X5-$Q$60^2/2),"")</f>
        <v>0.38119213275447605</v>
      </c>
    </row>
    <row r="6" spans="2:28" hidden="1">
      <c r="B6" s="6">
        <f>+B5</f>
        <v>0.05</v>
      </c>
      <c r="C6" s="6">
        <f>+C5+0.05</f>
        <v>0.1</v>
      </c>
      <c r="D6" s="5">
        <f t="shared" ref="D6:D23" si="5">IF(C6&gt;B6-0.01,C6)</f>
        <v>0.1</v>
      </c>
      <c r="E6" s="5">
        <f t="shared" ref="E6:E19" si="6">NORMSINV(1-B6)</f>
        <v>1.6448536269514715</v>
      </c>
      <c r="G6" s="7">
        <f t="shared" ref="G6:G19" si="7">-NORMSINV(1-C6)+E6</f>
        <v>0.36330206140687094</v>
      </c>
      <c r="H6" s="5"/>
      <c r="I6" s="6">
        <f>+I5</f>
        <v>0.19990000000000002</v>
      </c>
      <c r="J6" s="6">
        <f>+J5</f>
        <v>0.98</v>
      </c>
      <c r="K6" s="4">
        <f t="shared" ref="K6:K19" si="8">NORMDIST(NORMSINV(I6),G6,1,TRUE)</f>
        <v>0.11404750968114029</v>
      </c>
      <c r="L6" s="4">
        <f t="shared" ref="L6:L19" si="9">NORMDIST(NORMSINV(J6),G6,1,TRUE)</f>
        <v>0.95452875070665089</v>
      </c>
      <c r="N6" s="8">
        <f t="shared" ref="N6:N19" si="10">+(1-L6)/(1-J6)/K6*I6</f>
        <v>3.9850509490097261</v>
      </c>
      <c r="O6" s="8">
        <f t="shared" ref="O6:O23" si="11">+EXP(G6)</f>
        <v>1.4380701791437582</v>
      </c>
      <c r="T6" s="14">
        <f>+T5+0.05</f>
        <v>0.1</v>
      </c>
      <c r="U6" s="5">
        <f t="shared" ref="U6:U24" si="12">NORMSINV(1-T6)</f>
        <v>1.2815515655446006</v>
      </c>
      <c r="V6">
        <f t="shared" si="0"/>
        <v>0.19532099128784275</v>
      </c>
      <c r="W6">
        <f t="shared" si="1"/>
        <v>4.4129913798943425E-2</v>
      </c>
      <c r="X6">
        <f t="shared" si="2"/>
        <v>-1.7046494245969872</v>
      </c>
      <c r="Y6" s="14">
        <f>+Y5+0.05</f>
        <v>0.1</v>
      </c>
      <c r="AA6">
        <f t="shared" si="3"/>
        <v>1.5725772350570217</v>
      </c>
      <c r="AB6">
        <f t="shared" si="4"/>
        <v>0.44452925034206242</v>
      </c>
    </row>
    <row r="7" spans="2:28" hidden="1">
      <c r="B7" s="6">
        <f t="shared" ref="B7:B25" si="13">+B6</f>
        <v>0.05</v>
      </c>
      <c r="C7" s="6">
        <f t="shared" ref="C7:C19" si="14">+C6+0.05</f>
        <v>0.15000000000000002</v>
      </c>
      <c r="D7" s="5">
        <f t="shared" si="5"/>
        <v>0.15000000000000002</v>
      </c>
      <c r="E7" s="5">
        <f t="shared" si="6"/>
        <v>1.6448536269514715</v>
      </c>
      <c r="G7" s="7">
        <f t="shared" si="7"/>
        <v>0.6084202374576817</v>
      </c>
      <c r="H7" s="5"/>
      <c r="I7" s="6">
        <f t="shared" ref="I7:J22" si="15">+I6</f>
        <v>0.19990000000000002</v>
      </c>
      <c r="J7" s="6">
        <f t="shared" si="15"/>
        <v>0.98</v>
      </c>
      <c r="K7" s="4">
        <f t="shared" si="8"/>
        <v>7.3473682456455747E-2</v>
      </c>
      <c r="L7" s="4">
        <f t="shared" si="9"/>
        <v>0.92581720618430319</v>
      </c>
      <c r="N7" s="8">
        <f t="shared" si="10"/>
        <v>10.091464037171601</v>
      </c>
      <c r="O7" s="8">
        <f t="shared" si="11"/>
        <v>1.8375262495233111</v>
      </c>
      <c r="T7" s="14">
        <f t="shared" ref="T7:T23" si="16">+T6+0.05</f>
        <v>0.15000000000000002</v>
      </c>
      <c r="U7" s="5">
        <f t="shared" si="12"/>
        <v>1.0364333894937898</v>
      </c>
      <c r="V7">
        <f t="shared" si="0"/>
        <v>0.26982725234807603</v>
      </c>
      <c r="W7">
        <f t="shared" si="1"/>
        <v>7.2209473212934097E-2</v>
      </c>
      <c r="X7">
        <f t="shared" si="2"/>
        <v>-1.4595312485461764</v>
      </c>
      <c r="Y7" s="14">
        <f t="shared" ref="Y7:Y23" si="17">+Y6+0.05</f>
        <v>0.15000000000000002</v>
      </c>
      <c r="AA7">
        <f t="shared" si="3"/>
        <v>1.4176588998231741</v>
      </c>
      <c r="AB7">
        <f t="shared" si="4"/>
        <v>0.49310633149630362</v>
      </c>
    </row>
    <row r="8" spans="2:28" hidden="1">
      <c r="B8" s="6">
        <f t="shared" si="13"/>
        <v>0.05</v>
      </c>
      <c r="C8" s="6">
        <f t="shared" si="14"/>
        <v>0.2</v>
      </c>
      <c r="D8" s="5">
        <f t="shared" si="5"/>
        <v>0.2</v>
      </c>
      <c r="E8" s="5">
        <f t="shared" si="6"/>
        <v>1.6448536269514715</v>
      </c>
      <c r="G8" s="7">
        <f t="shared" si="7"/>
        <v>0.80323239337855679</v>
      </c>
      <c r="H8" s="5"/>
      <c r="I8" s="6">
        <f t="shared" si="15"/>
        <v>0.19990000000000002</v>
      </c>
      <c r="J8" s="6">
        <f t="shared" si="15"/>
        <v>0.98</v>
      </c>
      <c r="K8" s="4">
        <f t="shared" si="8"/>
        <v>4.9963166117395374E-2</v>
      </c>
      <c r="L8" s="4">
        <f t="shared" si="9"/>
        <v>0.89444453728380013</v>
      </c>
      <c r="N8" s="8">
        <f t="shared" si="10"/>
        <v>21.116092750597215</v>
      </c>
      <c r="O8" s="8">
        <f t="shared" si="11"/>
        <v>2.2327463914249943</v>
      </c>
      <c r="T8" s="14">
        <f t="shared" si="16"/>
        <v>0.2</v>
      </c>
      <c r="U8" s="5">
        <f t="shared" si="12"/>
        <v>0.84162123357291474</v>
      </c>
      <c r="V8">
        <f t="shared" si="0"/>
        <v>0.33778225010551166</v>
      </c>
      <c r="W8">
        <f t="shared" si="1"/>
        <v>0.10298602163880372</v>
      </c>
      <c r="X8">
        <f t="shared" si="2"/>
        <v>-1.2647190926253011</v>
      </c>
      <c r="Y8" s="14">
        <f t="shared" si="17"/>
        <v>0.2</v>
      </c>
      <c r="AA8">
        <f t="shared" si="3"/>
        <v>1.3054949525986141</v>
      </c>
      <c r="AB8">
        <f t="shared" si="4"/>
        <v>0.53547244898450586</v>
      </c>
    </row>
    <row r="9" spans="2:28" hidden="1">
      <c r="B9" s="6">
        <f t="shared" si="13"/>
        <v>0.05</v>
      </c>
      <c r="C9" s="6">
        <f t="shared" si="14"/>
        <v>0.25</v>
      </c>
      <c r="D9" s="5">
        <f t="shared" si="5"/>
        <v>0.25</v>
      </c>
      <c r="E9" s="5">
        <f t="shared" si="6"/>
        <v>1.6448536269514715</v>
      </c>
      <c r="G9" s="7">
        <f t="shared" si="7"/>
        <v>0.9703638767553896</v>
      </c>
      <c r="H9" s="5"/>
      <c r="I9" s="6">
        <f t="shared" si="15"/>
        <v>0.19990000000000002</v>
      </c>
      <c r="J9" s="6">
        <f t="shared" si="15"/>
        <v>0.98</v>
      </c>
      <c r="K9" s="4">
        <f t="shared" si="8"/>
        <v>3.49666569071772E-2</v>
      </c>
      <c r="L9" s="4">
        <f t="shared" si="9"/>
        <v>0.86068122210605713</v>
      </c>
      <c r="N9" s="8">
        <f t="shared" si="10"/>
        <v>39.82340058263155</v>
      </c>
      <c r="O9" s="8">
        <f t="shared" si="11"/>
        <v>2.6389045206863284</v>
      </c>
      <c r="T9" s="14">
        <f t="shared" si="16"/>
        <v>0.25</v>
      </c>
      <c r="U9" s="5">
        <f t="shared" si="12"/>
        <v>0.67448975019608193</v>
      </c>
      <c r="V9">
        <f t="shared" si="0"/>
        <v>0.40075556819208857</v>
      </c>
      <c r="W9">
        <f t="shared" si="1"/>
        <v>0.13619230293028034</v>
      </c>
      <c r="X9">
        <f t="shared" si="2"/>
        <v>-1.0975876092484684</v>
      </c>
      <c r="Y9" s="14">
        <f t="shared" si="17"/>
        <v>0.25</v>
      </c>
      <c r="AA9">
        <f t="shared" si="3"/>
        <v>1.2163678792805439</v>
      </c>
      <c r="AB9">
        <f t="shared" si="4"/>
        <v>0.57470818764004894</v>
      </c>
    </row>
    <row r="10" spans="2:28" hidden="1">
      <c r="B10" s="6">
        <f t="shared" si="13"/>
        <v>0.05</v>
      </c>
      <c r="C10" s="6">
        <f t="shared" si="14"/>
        <v>0.3</v>
      </c>
      <c r="D10" s="5">
        <f t="shared" si="5"/>
        <v>0.3</v>
      </c>
      <c r="E10" s="5">
        <f t="shared" si="6"/>
        <v>1.6448536269514715</v>
      </c>
      <c r="G10" s="7">
        <f t="shared" si="7"/>
        <v>1.1204531142434306</v>
      </c>
      <c r="H10" s="5"/>
      <c r="I10" s="6">
        <f t="shared" si="15"/>
        <v>0.19990000000000002</v>
      </c>
      <c r="J10" s="6">
        <f t="shared" si="15"/>
        <v>0.98</v>
      </c>
      <c r="K10" s="4">
        <f t="shared" si="8"/>
        <v>2.4856128791396582E-2</v>
      </c>
      <c r="L10" s="4">
        <f t="shared" si="9"/>
        <v>0.82466636752493172</v>
      </c>
      <c r="N10" s="8">
        <f t="shared" si="10"/>
        <v>70.504126821023021</v>
      </c>
      <c r="O10" s="8">
        <f t="shared" si="11"/>
        <v>3.0662432470605445</v>
      </c>
      <c r="T10" s="14">
        <f t="shared" si="16"/>
        <v>0.3</v>
      </c>
      <c r="U10" s="5">
        <f t="shared" si="12"/>
        <v>0.52440051270804078</v>
      </c>
      <c r="V10">
        <f t="shared" si="0"/>
        <v>0.45965510486021366</v>
      </c>
      <c r="W10">
        <f t="shared" si="1"/>
        <v>0.17169244277381224</v>
      </c>
      <c r="X10">
        <f t="shared" si="2"/>
        <v>-0.9474983717604275</v>
      </c>
      <c r="Y10" s="14">
        <f t="shared" si="17"/>
        <v>0.3</v>
      </c>
      <c r="AA10">
        <f t="shared" si="3"/>
        <v>1.1415269945770208</v>
      </c>
      <c r="AB10">
        <f t="shared" si="4"/>
        <v>0.61238725209815847</v>
      </c>
    </row>
    <row r="11" spans="2:28" hidden="1">
      <c r="B11" s="6">
        <f t="shared" si="13"/>
        <v>0.05</v>
      </c>
      <c r="C11" s="6">
        <f t="shared" si="14"/>
        <v>0.35</v>
      </c>
      <c r="D11" s="5">
        <f t="shared" si="5"/>
        <v>0.35</v>
      </c>
      <c r="E11" s="5">
        <f t="shared" si="6"/>
        <v>1.6448536269514715</v>
      </c>
      <c r="G11" s="7">
        <f t="shared" si="7"/>
        <v>1.2595331605439037</v>
      </c>
      <c r="H11" s="5"/>
      <c r="I11" s="6">
        <f t="shared" si="15"/>
        <v>0.19990000000000002</v>
      </c>
      <c r="J11" s="6">
        <f t="shared" si="15"/>
        <v>0.98</v>
      </c>
      <c r="K11" s="4">
        <f t="shared" si="8"/>
        <v>1.7798038676154E-2</v>
      </c>
      <c r="L11" s="4">
        <f t="shared" si="9"/>
        <v>0.78646507951981182</v>
      </c>
      <c r="N11" s="8">
        <f t="shared" si="10"/>
        <v>119.91666997886753</v>
      </c>
      <c r="O11" s="8">
        <f t="shared" si="11"/>
        <v>3.5237760656194905</v>
      </c>
      <c r="T11" s="14">
        <f t="shared" si="16"/>
        <v>0.35</v>
      </c>
      <c r="U11" s="5">
        <f t="shared" si="12"/>
        <v>0.38532046640756784</v>
      </c>
      <c r="V11">
        <f t="shared" si="0"/>
        <v>0.51506741522058153</v>
      </c>
      <c r="W11">
        <f t="shared" si="1"/>
        <v>0.20942490303246628</v>
      </c>
      <c r="X11">
        <f t="shared" si="2"/>
        <v>-0.8084183254599544</v>
      </c>
      <c r="Y11" s="14">
        <f t="shared" si="17"/>
        <v>0.35</v>
      </c>
      <c r="AA11">
        <f t="shared" si="3"/>
        <v>1.0762926079223292</v>
      </c>
      <c r="AB11">
        <f t="shared" si="4"/>
        <v>0.64950420941229647</v>
      </c>
    </row>
    <row r="12" spans="2:28" hidden="1">
      <c r="B12" s="6">
        <f t="shared" si="13"/>
        <v>0.05</v>
      </c>
      <c r="C12" s="6">
        <f t="shared" si="14"/>
        <v>0.39999999999999997</v>
      </c>
      <c r="D12" s="5">
        <f t="shared" si="5"/>
        <v>0.39999999999999997</v>
      </c>
      <c r="E12" s="5">
        <f t="shared" si="6"/>
        <v>1.6448536269514715</v>
      </c>
      <c r="G12" s="7">
        <f t="shared" si="7"/>
        <v>1.3915065238156714</v>
      </c>
      <c r="H12" s="5"/>
      <c r="I12" s="6">
        <f t="shared" si="15"/>
        <v>0.19990000000000002</v>
      </c>
      <c r="J12" s="6">
        <f t="shared" si="15"/>
        <v>0.98</v>
      </c>
      <c r="K12" s="4">
        <f t="shared" si="8"/>
        <v>1.2758489122032172E-2</v>
      </c>
      <c r="L12" s="4">
        <f t="shared" si="9"/>
        <v>0.74609205333059347</v>
      </c>
      <c r="N12" s="8">
        <f t="shared" si="10"/>
        <v>198.91147789421743</v>
      </c>
      <c r="O12" s="8">
        <f t="shared" si="11"/>
        <v>4.0209030785841557</v>
      </c>
      <c r="T12" s="14">
        <f t="shared" si="16"/>
        <v>0.39999999999999997</v>
      </c>
      <c r="U12" s="5">
        <f t="shared" si="12"/>
        <v>0.25334710313580006</v>
      </c>
      <c r="V12">
        <f t="shared" si="0"/>
        <v>0.56739692208677917</v>
      </c>
      <c r="W12">
        <f t="shared" si="1"/>
        <v>0.24937908933932046</v>
      </c>
      <c r="X12">
        <f t="shared" si="2"/>
        <v>-0.6764449621881865</v>
      </c>
      <c r="Y12" s="14">
        <f t="shared" si="17"/>
        <v>0.39999999999999997</v>
      </c>
      <c r="AA12">
        <f t="shared" si="3"/>
        <v>1.0178420182914074</v>
      </c>
      <c r="AB12">
        <f t="shared" si="4"/>
        <v>0.68680263424215604</v>
      </c>
    </row>
    <row r="13" spans="2:28" hidden="1">
      <c r="B13" s="6">
        <f t="shared" si="13"/>
        <v>0.05</v>
      </c>
      <c r="C13" s="6">
        <f t="shared" si="14"/>
        <v>0.44999999999999996</v>
      </c>
      <c r="D13" s="5">
        <f t="shared" si="5"/>
        <v>0.44999999999999996</v>
      </c>
      <c r="E13" s="5">
        <f t="shared" si="6"/>
        <v>1.6448536269514715</v>
      </c>
      <c r="G13" s="7">
        <f t="shared" si="7"/>
        <v>1.5191922800963973</v>
      </c>
      <c r="H13" s="5"/>
      <c r="I13" s="6">
        <f t="shared" si="15"/>
        <v>0.19990000000000002</v>
      </c>
      <c r="J13" s="6">
        <f t="shared" si="15"/>
        <v>0.98</v>
      </c>
      <c r="K13" s="4">
        <f t="shared" si="8"/>
        <v>9.1086700634592406E-3</v>
      </c>
      <c r="L13" s="4">
        <f t="shared" si="9"/>
        <v>0.70352175998542488</v>
      </c>
      <c r="N13" s="8">
        <f t="shared" si="10"/>
        <v>325.32740655887699</v>
      </c>
      <c r="O13" s="8">
        <f t="shared" si="11"/>
        <v>4.5685336089328201</v>
      </c>
      <c r="T13" s="14">
        <f t="shared" si="16"/>
        <v>0.44999999999999996</v>
      </c>
      <c r="U13" s="5">
        <f t="shared" si="12"/>
        <v>0.12566134685507416</v>
      </c>
      <c r="V13">
        <f t="shared" si="0"/>
        <v>0.61693336420918254</v>
      </c>
      <c r="W13">
        <f t="shared" si="1"/>
        <v>0.29158535461768648</v>
      </c>
      <c r="X13">
        <f t="shared" si="2"/>
        <v>-0.54875920590746075</v>
      </c>
      <c r="Y13" s="14">
        <f t="shared" si="17"/>
        <v>0.44999999999999996</v>
      </c>
      <c r="AA13">
        <f t="shared" si="3"/>
        <v>0.96431347822952707</v>
      </c>
      <c r="AB13">
        <f t="shared" si="4"/>
        <v>0.72492669156543821</v>
      </c>
    </row>
    <row r="14" spans="2:28" hidden="1">
      <c r="B14" s="6">
        <f t="shared" si="13"/>
        <v>0.05</v>
      </c>
      <c r="C14" s="6">
        <f t="shared" si="14"/>
        <v>0.49999999999999994</v>
      </c>
      <c r="D14" s="5">
        <f t="shared" si="5"/>
        <v>0.49999999999999994</v>
      </c>
      <c r="E14" s="5">
        <f t="shared" si="6"/>
        <v>1.6448536269514715</v>
      </c>
      <c r="G14" s="7">
        <f t="shared" si="7"/>
        <v>1.6448536269514715</v>
      </c>
      <c r="H14" s="5"/>
      <c r="I14" s="6">
        <f t="shared" si="15"/>
        <v>0.19990000000000002</v>
      </c>
      <c r="J14" s="6">
        <f t="shared" si="15"/>
        <v>0.98</v>
      </c>
      <c r="K14" s="4">
        <f t="shared" si="8"/>
        <v>6.4443104470567241E-3</v>
      </c>
      <c r="L14" s="4">
        <f t="shared" si="9"/>
        <v>0.65869174484599202</v>
      </c>
      <c r="N14" s="8">
        <f t="shared" si="10"/>
        <v>529.36245674234499</v>
      </c>
      <c r="O14" s="8">
        <f t="shared" si="11"/>
        <v>5.1802516022330103</v>
      </c>
      <c r="T14" s="14">
        <f t="shared" si="16"/>
        <v>0.49999999999999994</v>
      </c>
      <c r="U14" s="5">
        <f t="shared" si="12"/>
        <v>0</v>
      </c>
      <c r="V14">
        <f t="shared" si="0"/>
        <v>0.66388806782093934</v>
      </c>
      <c r="W14">
        <f t="shared" si="1"/>
        <v>0.3361119321790606</v>
      </c>
      <c r="X14">
        <f t="shared" si="2"/>
        <v>-0.42309785905238678</v>
      </c>
      <c r="Y14" s="14">
        <f t="shared" si="17"/>
        <v>0.49999999999999994</v>
      </c>
      <c r="AA14">
        <f t="shared" si="3"/>
        <v>0.91438287101081006</v>
      </c>
      <c r="AB14">
        <f t="shared" si="4"/>
        <v>0.76451189273932352</v>
      </c>
    </row>
    <row r="15" spans="2:28" hidden="1">
      <c r="B15" s="6">
        <f t="shared" si="13"/>
        <v>0.05</v>
      </c>
      <c r="C15" s="6">
        <f t="shared" si="14"/>
        <v>0.54999999999999993</v>
      </c>
      <c r="D15" s="5">
        <f t="shared" si="5"/>
        <v>0.54999999999999993</v>
      </c>
      <c r="E15" s="5">
        <f t="shared" si="6"/>
        <v>1.6448536269514715</v>
      </c>
      <c r="G15" s="7">
        <f t="shared" si="7"/>
        <v>1.7705149738065453</v>
      </c>
      <c r="H15" s="5"/>
      <c r="I15" s="6">
        <f t="shared" si="15"/>
        <v>0.19990000000000002</v>
      </c>
      <c r="J15" s="6">
        <f t="shared" si="15"/>
        <v>0.98</v>
      </c>
      <c r="K15" s="4">
        <f t="shared" si="8"/>
        <v>4.4942206999582044E-3</v>
      </c>
      <c r="L15" s="4">
        <f t="shared" si="9"/>
        <v>0.61150124241469639</v>
      </c>
      <c r="N15" s="8">
        <f t="shared" si="10"/>
        <v>864.00854370619095</v>
      </c>
      <c r="O15" s="8">
        <f t="shared" si="11"/>
        <v>5.8738774756887775</v>
      </c>
      <c r="T15" s="14">
        <f t="shared" si="16"/>
        <v>0.54999999999999993</v>
      </c>
      <c r="U15" s="5">
        <f t="shared" si="12"/>
        <v>-0.12566134685507385</v>
      </c>
      <c r="V15">
        <f t="shared" si="0"/>
        <v>0.70841464538231347</v>
      </c>
      <c r="W15">
        <f t="shared" si="1"/>
        <v>0.38306663579081734</v>
      </c>
      <c r="X15">
        <f t="shared" si="2"/>
        <v>-0.29743651219731276</v>
      </c>
      <c r="Y15" s="14">
        <f t="shared" si="17"/>
        <v>0.54999999999999993</v>
      </c>
      <c r="AA15">
        <f t="shared" si="3"/>
        <v>0.86703759065261488</v>
      </c>
      <c r="AB15">
        <f t="shared" si="4"/>
        <v>0.80625867544994767</v>
      </c>
    </row>
    <row r="16" spans="2:28" hidden="1">
      <c r="B16" s="6">
        <f t="shared" si="13"/>
        <v>0.05</v>
      </c>
      <c r="C16" s="6">
        <f t="shared" si="14"/>
        <v>0.6</v>
      </c>
      <c r="D16" s="5">
        <f t="shared" si="5"/>
        <v>0.6</v>
      </c>
      <c r="E16" s="5">
        <f t="shared" si="6"/>
        <v>1.6448536269514715</v>
      </c>
      <c r="G16" s="7">
        <f t="shared" si="7"/>
        <v>1.8982007300872712</v>
      </c>
      <c r="H16" s="5"/>
      <c r="I16" s="6">
        <f t="shared" si="15"/>
        <v>0.19990000000000002</v>
      </c>
      <c r="J16" s="6">
        <f t="shared" si="15"/>
        <v>0.98</v>
      </c>
      <c r="K16" s="4">
        <f t="shared" si="8"/>
        <v>3.0702846299610368E-3</v>
      </c>
      <c r="L16" s="4">
        <f t="shared" si="9"/>
        <v>0.56180541322648292</v>
      </c>
      <c r="N16" s="8">
        <f t="shared" si="10"/>
        <v>1426.4980034951616</v>
      </c>
      <c r="O16" s="8">
        <f t="shared" si="11"/>
        <v>6.6738755294461924</v>
      </c>
      <c r="T16" s="14">
        <f t="shared" si="16"/>
        <v>0.6</v>
      </c>
      <c r="U16" s="5">
        <f t="shared" si="12"/>
        <v>-0.25334710313579978</v>
      </c>
      <c r="V16">
        <f t="shared" si="0"/>
        <v>0.7506209106606796</v>
      </c>
      <c r="W16">
        <f t="shared" si="1"/>
        <v>0.43260307791322072</v>
      </c>
      <c r="X16">
        <f t="shared" si="2"/>
        <v>-0.16975075591658684</v>
      </c>
      <c r="Y16" s="14">
        <f t="shared" si="17"/>
        <v>0.6</v>
      </c>
      <c r="AA16">
        <f t="shared" si="3"/>
        <v>0.82143988926835432</v>
      </c>
      <c r="AB16">
        <f t="shared" si="4"/>
        <v>0.85101367554421026</v>
      </c>
    </row>
    <row r="17" spans="2:28" hidden="1">
      <c r="B17" s="6">
        <f t="shared" si="13"/>
        <v>0.05</v>
      </c>
      <c r="C17" s="6">
        <f t="shared" si="14"/>
        <v>0.65</v>
      </c>
      <c r="D17" s="5">
        <f t="shared" si="5"/>
        <v>0.65</v>
      </c>
      <c r="E17" s="5">
        <f t="shared" si="6"/>
        <v>1.6448536269514715</v>
      </c>
      <c r="G17" s="7">
        <f t="shared" si="7"/>
        <v>2.0301740933590393</v>
      </c>
      <c r="H17" s="5"/>
      <c r="I17" s="6">
        <f t="shared" si="15"/>
        <v>0.19990000000000002</v>
      </c>
      <c r="J17" s="6">
        <f t="shared" si="15"/>
        <v>0.98</v>
      </c>
      <c r="K17" s="4">
        <f t="shared" si="8"/>
        <v>2.0384304257969567E-3</v>
      </c>
      <c r="L17" s="4">
        <f t="shared" si="9"/>
        <v>0.50940412026364745</v>
      </c>
      <c r="N17" s="8">
        <f t="shared" si="10"/>
        <v>2405.5301352989454</v>
      </c>
      <c r="O17" s="8">
        <f t="shared" si="11"/>
        <v>7.6154120360426454</v>
      </c>
      <c r="T17" s="14">
        <f t="shared" si="16"/>
        <v>0.65</v>
      </c>
      <c r="U17" s="5">
        <f t="shared" si="12"/>
        <v>-0.38532046640756784</v>
      </c>
      <c r="V17">
        <f t="shared" si="0"/>
        <v>0.7905750969675337</v>
      </c>
      <c r="W17">
        <f t="shared" si="1"/>
        <v>0.48493258477941847</v>
      </c>
      <c r="X17">
        <f t="shared" si="2"/>
        <v>-3.7777392644818775E-2</v>
      </c>
      <c r="Y17" s="14">
        <f t="shared" si="17"/>
        <v>0.65</v>
      </c>
      <c r="AA17">
        <f t="shared" si="3"/>
        <v>0.77682967312389906</v>
      </c>
      <c r="AB17">
        <f t="shared" si="4"/>
        <v>0.89988398176622753</v>
      </c>
    </row>
    <row r="18" spans="2:28" hidden="1">
      <c r="B18" s="6">
        <f t="shared" si="13"/>
        <v>0.05</v>
      </c>
      <c r="C18" s="6">
        <f t="shared" si="14"/>
        <v>0.70000000000000007</v>
      </c>
      <c r="D18" s="5">
        <f t="shared" si="5"/>
        <v>0.70000000000000007</v>
      </c>
      <c r="E18" s="5">
        <f t="shared" si="6"/>
        <v>1.6448536269514715</v>
      </c>
      <c r="G18" s="7">
        <f t="shared" si="7"/>
        <v>2.1692541396595124</v>
      </c>
      <c r="H18" s="5"/>
      <c r="I18" s="6">
        <f t="shared" si="15"/>
        <v>0.19990000000000002</v>
      </c>
      <c r="J18" s="6">
        <f t="shared" si="15"/>
        <v>0.98</v>
      </c>
      <c r="K18" s="4">
        <f t="shared" si="8"/>
        <v>1.3009472086657665E-3</v>
      </c>
      <c r="L18" s="4">
        <f t="shared" si="9"/>
        <v>0.45402233802720077</v>
      </c>
      <c r="N18" s="8">
        <f t="shared" si="10"/>
        <v>4194.6719244778542</v>
      </c>
      <c r="O18" s="8">
        <f t="shared" si="11"/>
        <v>8.7517540195687538</v>
      </c>
      <c r="T18" s="14">
        <f t="shared" si="16"/>
        <v>0.70000000000000007</v>
      </c>
      <c r="U18" s="5">
        <f t="shared" si="12"/>
        <v>-0.524400512708041</v>
      </c>
      <c r="V18">
        <f t="shared" si="0"/>
        <v>0.82830755722618776</v>
      </c>
      <c r="W18">
        <f t="shared" si="1"/>
        <v>0.54034489513978645</v>
      </c>
      <c r="X18">
        <f t="shared" si="2"/>
        <v>0.10130265365565438</v>
      </c>
      <c r="Y18" s="14">
        <f t="shared" si="17"/>
        <v>0.70000000000000007</v>
      </c>
      <c r="AA18">
        <f t="shared" si="3"/>
        <v>0.73243649845335213</v>
      </c>
      <c r="AB18">
        <f t="shared" si="4"/>
        <v>0.95442619378069293</v>
      </c>
    </row>
    <row r="19" spans="2:28" hidden="1">
      <c r="B19" s="6">
        <f t="shared" si="13"/>
        <v>0.05</v>
      </c>
      <c r="C19" s="6">
        <f t="shared" si="14"/>
        <v>0.75000000000000011</v>
      </c>
      <c r="D19" s="5">
        <f t="shared" si="5"/>
        <v>0.75000000000000011</v>
      </c>
      <c r="E19" s="5">
        <f t="shared" si="6"/>
        <v>1.6448536269514715</v>
      </c>
      <c r="G19" s="7">
        <f t="shared" si="7"/>
        <v>2.3193433771475536</v>
      </c>
      <c r="H19" s="5"/>
      <c r="I19" s="6">
        <f t="shared" si="15"/>
        <v>0.19990000000000002</v>
      </c>
      <c r="J19" s="6">
        <f t="shared" si="15"/>
        <v>0.98</v>
      </c>
      <c r="K19" s="4">
        <f t="shared" si="8"/>
        <v>7.8527426694806736E-4</v>
      </c>
      <c r="L19" s="4">
        <f t="shared" si="9"/>
        <v>0.39527577383412127</v>
      </c>
      <c r="N19" s="8">
        <f t="shared" si="10"/>
        <v>7696.9523832972827</v>
      </c>
      <c r="O19" s="8">
        <f t="shared" si="11"/>
        <v>10.168994918944017</v>
      </c>
      <c r="T19" s="14">
        <f t="shared" si="16"/>
        <v>0.75000000000000011</v>
      </c>
      <c r="U19" s="5">
        <f t="shared" si="12"/>
        <v>-0.67448975019608215</v>
      </c>
      <c r="V19">
        <f t="shared" si="0"/>
        <v>0.86380769706971972</v>
      </c>
      <c r="W19">
        <f t="shared" si="1"/>
        <v>0.59924443180791154</v>
      </c>
      <c r="X19">
        <f t="shared" si="2"/>
        <v>0.25139189114369553</v>
      </c>
      <c r="Y19" s="14">
        <f t="shared" si="17"/>
        <v>0.75000000000000011</v>
      </c>
      <c r="AA19">
        <f t="shared" si="3"/>
        <v>0.68737102404619965</v>
      </c>
      <c r="AB19">
        <f t="shared" si="4"/>
        <v>1.017000360722081</v>
      </c>
    </row>
    <row r="20" spans="2:28" hidden="1">
      <c r="B20" s="6">
        <f t="shared" si="13"/>
        <v>0.05</v>
      </c>
      <c r="C20" s="6">
        <f>+C19+0.05</f>
        <v>0.80000000000000016</v>
      </c>
      <c r="D20" s="5">
        <f t="shared" si="5"/>
        <v>0.80000000000000016</v>
      </c>
      <c r="E20" s="5">
        <f>NORMSINV(1-B20)</f>
        <v>1.6448536269514715</v>
      </c>
      <c r="G20" s="7">
        <f>-NORMSINV(1-C20)+E20</f>
        <v>2.4864748605243854</v>
      </c>
      <c r="H20" s="5"/>
      <c r="I20" s="6">
        <f t="shared" si="15"/>
        <v>0.19990000000000002</v>
      </c>
      <c r="J20" s="6">
        <f t="shared" si="15"/>
        <v>0.98</v>
      </c>
      <c r="K20" s="4">
        <f>NORMDIST(NORMSINV(I20),G20,1,TRUE)</f>
        <v>4.3664816255303292E-4</v>
      </c>
      <c r="L20" s="4">
        <f>NORMDIST(NORMSINV(J20),G20,1,TRUE)</f>
        <v>0.33260693762250998</v>
      </c>
      <c r="N20" s="8">
        <f>+(1-L20)/(1-J20)/K20*I20</f>
        <v>15276.816051304995</v>
      </c>
      <c r="O20" s="8">
        <f t="shared" si="11"/>
        <v>12.018833292262482</v>
      </c>
      <c r="T20" s="14">
        <f t="shared" si="16"/>
        <v>0.80000000000000016</v>
      </c>
      <c r="U20" s="5">
        <f t="shared" si="12"/>
        <v>-0.84162123357291396</v>
      </c>
      <c r="V20">
        <f t="shared" si="0"/>
        <v>0.89701397836119623</v>
      </c>
      <c r="W20">
        <f t="shared" si="1"/>
        <v>0.66221774989448812</v>
      </c>
      <c r="X20">
        <f t="shared" si="2"/>
        <v>0.41852337452052735</v>
      </c>
      <c r="Y20" s="14">
        <f t="shared" si="17"/>
        <v>0.80000000000000016</v>
      </c>
      <c r="AA20">
        <f t="shared" si="3"/>
        <v>0.64044371304056447</v>
      </c>
      <c r="AB20">
        <f t="shared" si="4"/>
        <v>1.091519153316467</v>
      </c>
    </row>
    <row r="21" spans="2:28" hidden="1">
      <c r="B21" s="6">
        <f t="shared" si="13"/>
        <v>0.05</v>
      </c>
      <c r="C21" s="6">
        <f>+C20+0.05</f>
        <v>0.8500000000000002</v>
      </c>
      <c r="D21" s="5">
        <f t="shared" si="5"/>
        <v>0.8500000000000002</v>
      </c>
      <c r="E21" s="5">
        <f>NORMSINV(1-B21)</f>
        <v>1.6448536269514715</v>
      </c>
      <c r="G21" s="7">
        <f>-NORMSINV(1-C21)+E21</f>
        <v>2.6812870164452609</v>
      </c>
      <c r="H21" s="5"/>
      <c r="I21" s="6">
        <f t="shared" si="15"/>
        <v>0.19990000000000002</v>
      </c>
      <c r="J21" s="6">
        <f t="shared" si="15"/>
        <v>0.98</v>
      </c>
      <c r="K21" s="4">
        <f>NORMDIST(NORMSINV(I21),G21,1,TRUE)</f>
        <v>2.1313206391287176E-4</v>
      </c>
      <c r="L21" s="4">
        <f>NORMDIST(NORMSINV(J21),G21,1,TRUE)</f>
        <v>0.26515328295780816</v>
      </c>
      <c r="N21" s="8">
        <f>+(1-L21)/(1-J21)/K21*I21</f>
        <v>34461.229352328934</v>
      </c>
      <c r="O21" s="8">
        <f>+EXP(G21)</f>
        <v>14.60387663544897</v>
      </c>
      <c r="T21" s="14">
        <f t="shared" si="16"/>
        <v>0.8500000000000002</v>
      </c>
      <c r="U21" s="5">
        <f t="shared" si="12"/>
        <v>-1.0364333894937894</v>
      </c>
      <c r="V21">
        <f t="shared" si="0"/>
        <v>0.92779052678706586</v>
      </c>
      <c r="W21">
        <f t="shared" si="1"/>
        <v>0.73017274765192386</v>
      </c>
      <c r="X21">
        <f t="shared" si="2"/>
        <v>0.61333553044140277</v>
      </c>
      <c r="Y21" s="14">
        <f t="shared" si="17"/>
        <v>0.8500000000000002</v>
      </c>
      <c r="AA21">
        <f t="shared" si="3"/>
        <v>0.58977235984076204</v>
      </c>
      <c r="AB21">
        <f t="shared" si="4"/>
        <v>1.1852989848382107</v>
      </c>
    </row>
    <row r="22" spans="2:28" hidden="1">
      <c r="B22" s="6">
        <f t="shared" si="13"/>
        <v>0.05</v>
      </c>
      <c r="C22" s="6">
        <f>+C21+0.05</f>
        <v>0.90000000000000024</v>
      </c>
      <c r="D22" s="5">
        <f t="shared" si="5"/>
        <v>0.90000000000000024</v>
      </c>
      <c r="E22" s="5">
        <f>NORMSINV(1-B22)</f>
        <v>1.6448536269514715</v>
      </c>
      <c r="G22" s="7">
        <f>-NORMSINV(1-C22)+E22</f>
        <v>2.9264051924960741</v>
      </c>
      <c r="H22" s="5"/>
      <c r="I22" s="6">
        <f t="shared" si="15"/>
        <v>0.19990000000000002</v>
      </c>
      <c r="J22" s="6">
        <f t="shared" si="15"/>
        <v>0.98</v>
      </c>
      <c r="K22" s="4">
        <f>NORMDIST(NORMSINV(I22),G22,1,TRUE)</f>
        <v>8.2154012418989339E-5</v>
      </c>
      <c r="L22" s="4">
        <f>NORMDIST(NORMSINV(J22),G22,1,TRUE)</f>
        <v>0.19142522674956874</v>
      </c>
      <c r="N22" s="8">
        <f>+(1-L22)/(1-J22)/K22*I22</f>
        <v>98372.612860598674</v>
      </c>
      <c r="O22" s="8">
        <f t="shared" si="11"/>
        <v>18.660429130388867</v>
      </c>
      <c r="T22" s="14">
        <f t="shared" si="16"/>
        <v>0.90000000000000024</v>
      </c>
      <c r="U22" s="5">
        <f t="shared" si="12"/>
        <v>-1.2815515655446028</v>
      </c>
      <c r="V22">
        <f t="shared" si="0"/>
        <v>0.95587008620105673</v>
      </c>
      <c r="W22">
        <f t="shared" si="1"/>
        <v>0.80467900871215792</v>
      </c>
      <c r="X22">
        <f t="shared" si="2"/>
        <v>0.8584537064922162</v>
      </c>
      <c r="Y22" s="14">
        <f t="shared" si="17"/>
        <v>0.90000000000000024</v>
      </c>
      <c r="AA22">
        <f t="shared" si="3"/>
        <v>0.53167247761134862</v>
      </c>
      <c r="AB22">
        <f t="shared" si="4"/>
        <v>1.314825590644735</v>
      </c>
    </row>
    <row r="23" spans="2:28" hidden="1">
      <c r="B23" s="6">
        <f t="shared" si="13"/>
        <v>0.05</v>
      </c>
      <c r="C23" s="6">
        <f>+C22+0.05</f>
        <v>0.95000000000000029</v>
      </c>
      <c r="D23" s="5">
        <f t="shared" si="5"/>
        <v>0.95000000000000029</v>
      </c>
      <c r="E23" s="5">
        <f>NORMSINV(1-B23)</f>
        <v>1.6448536269514715</v>
      </c>
      <c r="G23" s="7">
        <f>-NORMSINV(1-C23)+E23</f>
        <v>3.2897072539029466</v>
      </c>
      <c r="H23" s="5"/>
      <c r="I23" s="6">
        <f>+I22</f>
        <v>0.19990000000000002</v>
      </c>
      <c r="J23" s="6">
        <f>+J22</f>
        <v>0.98</v>
      </c>
      <c r="K23" s="4">
        <f>NORMDIST(NORMSINV(I23),G23,1,TRUE)</f>
        <v>1.800562724431369E-5</v>
      </c>
      <c r="L23" s="4">
        <f>NORMDIST(NORMSINV(J23),G23,1,TRUE)</f>
        <v>0.10823702415891288</v>
      </c>
      <c r="N23" s="8">
        <f>+(1-L23)/(1-J23)/K23*I23</f>
        <v>495021.40761836013</v>
      </c>
      <c r="O23" s="8">
        <f t="shared" si="11"/>
        <v>26.83500666243776</v>
      </c>
      <c r="T23" s="14">
        <f t="shared" si="16"/>
        <v>0.95000000000000029</v>
      </c>
      <c r="U23" s="5">
        <f t="shared" si="12"/>
        <v>-1.6448536269514753</v>
      </c>
      <c r="V23">
        <f t="shared" si="0"/>
        <v>0.98067770736432425</v>
      </c>
      <c r="W23">
        <f t="shared" si="1"/>
        <v>0.88910000000000078</v>
      </c>
      <c r="X23">
        <f t="shared" si="2"/>
        <v>1.2217557678990887</v>
      </c>
      <c r="Y23" s="14">
        <f t="shared" si="17"/>
        <v>0.95000000000000029</v>
      </c>
      <c r="AA23">
        <f t="shared" si="3"/>
        <v>0.45591907734209519</v>
      </c>
      <c r="AB23">
        <f t="shared" si="4"/>
        <v>1.5332909153094283</v>
      </c>
    </row>
    <row r="24" spans="2:28" hidden="1">
      <c r="B24" s="6">
        <f t="shared" si="13"/>
        <v>0.05</v>
      </c>
      <c r="C24" s="6">
        <f>+C23+0.04</f>
        <v>0.99000000000000032</v>
      </c>
      <c r="D24" s="5"/>
      <c r="E24" s="5"/>
      <c r="G24" s="7"/>
      <c r="H24" s="5"/>
      <c r="I24" s="6">
        <f>+I23</f>
        <v>0.19990000000000002</v>
      </c>
      <c r="J24" s="6">
        <f>+J23</f>
        <v>0.98</v>
      </c>
      <c r="N24" s="8"/>
      <c r="O24" s="8"/>
      <c r="T24" s="14">
        <v>0.99</v>
      </c>
      <c r="U24" s="5">
        <f t="shared" si="12"/>
        <v>-2.3263478740408408</v>
      </c>
      <c r="V24">
        <f t="shared" si="0"/>
        <v>0.99701519266122374</v>
      </c>
      <c r="W24">
        <f t="shared" si="1"/>
        <v>0.97149603512521365</v>
      </c>
      <c r="X24">
        <f t="shared" si="2"/>
        <v>1.9032500149884541</v>
      </c>
      <c r="Y24" s="14">
        <v>0.99</v>
      </c>
      <c r="AA24">
        <f t="shared" si="3"/>
        <v>0.3417148354926301</v>
      </c>
      <c r="AB24">
        <f t="shared" si="4"/>
        <v>2.0457308457126326</v>
      </c>
    </row>
    <row r="25" spans="2:28" hidden="1">
      <c r="B25" s="6">
        <f t="shared" si="13"/>
        <v>0.05</v>
      </c>
      <c r="C25" s="6"/>
      <c r="D25" s="5"/>
      <c r="E25" s="5"/>
      <c r="G25" s="7"/>
      <c r="H25" s="5"/>
      <c r="I25" s="6"/>
      <c r="J25" s="6"/>
      <c r="N25" s="8"/>
      <c r="O25" s="8"/>
      <c r="T25" s="14"/>
      <c r="U25" s="5"/>
    </row>
    <row r="26" spans="2:28" hidden="1">
      <c r="B26" s="6">
        <f t="shared" ref="B26:B31" si="18">+B23</f>
        <v>0.05</v>
      </c>
      <c r="C26" s="20">
        <f>+MAX(C$60:C$78)</f>
        <v>0.1</v>
      </c>
      <c r="D26" s="5"/>
      <c r="E26" s="5">
        <f t="shared" ref="E26:E43" si="19">NORMSINV(1-B26)</f>
        <v>1.6448536269514715</v>
      </c>
      <c r="G26" s="7">
        <f t="shared" ref="G26:G43" si="20">-NORMSINV(1-C26)+E26</f>
        <v>0.36330206140687094</v>
      </c>
      <c r="H26" s="5"/>
      <c r="I26" s="6">
        <f>+I23</f>
        <v>0.19990000000000002</v>
      </c>
      <c r="J26" s="6">
        <f>+J23</f>
        <v>0.98</v>
      </c>
      <c r="K26" s="4">
        <f t="shared" ref="K26:K43" si="21">NORMDIST(NORMSINV(I26),G26,1,TRUE)</f>
        <v>0.11404750968114029</v>
      </c>
      <c r="L26" s="4">
        <f t="shared" ref="L26:L43" si="22">NORMDIST(NORMSINV(J26),G26,1,TRUE)</f>
        <v>0.95452875070665089</v>
      </c>
      <c r="N26" s="8">
        <f t="shared" ref="N26:N43" si="23">+(1-L26)/(1-J26)/K26*I26</f>
        <v>3.9850509490097261</v>
      </c>
      <c r="O26" s="8"/>
      <c r="P26" s="4">
        <f t="shared" ref="P26:P31" si="24">+ABS(N26-$N$87)</f>
        <v>1.0149490509902739</v>
      </c>
      <c r="Q26" s="4">
        <f t="shared" ref="Q26:Q31" si="25">+IF(P26=MIN(P$26:P$31),C26,-9)</f>
        <v>-9</v>
      </c>
      <c r="T26" s="14">
        <f>+H164</f>
        <v>0</v>
      </c>
      <c r="U26" s="5" t="e">
        <f>NORMSINV(1-T26)</f>
        <v>#NUM!</v>
      </c>
      <c r="V26" s="28">
        <f>IF(T26&gt;0,1-NORMSDIST(U26-$Q$60),0)</f>
        <v>0</v>
      </c>
      <c r="W26">
        <f>IF(Y26&gt;0,NORMSDIST(X26),0)</f>
        <v>0</v>
      </c>
      <c r="X26" t="e">
        <f>+NORMSINV(Y26)-$Q$60</f>
        <v>#NUM!</v>
      </c>
      <c r="Y26" s="14">
        <f>+H164</f>
        <v>0</v>
      </c>
      <c r="AA26" t="e">
        <f t="shared" si="3"/>
        <v>#NUM!</v>
      </c>
      <c r="AB26" t="e">
        <f t="shared" si="4"/>
        <v>#NUM!</v>
      </c>
    </row>
    <row r="27" spans="2:28" hidden="1">
      <c r="B27" s="6">
        <f t="shared" si="18"/>
        <v>0.05</v>
      </c>
      <c r="C27" s="20">
        <f>+MAX(C$60:C$78) + 1%</f>
        <v>0.11</v>
      </c>
      <c r="D27" s="5"/>
      <c r="E27" s="5">
        <f>NORMSINV(1-B27)</f>
        <v>1.6448536269514715</v>
      </c>
      <c r="G27" s="7">
        <f>-NORMSINV(1-C27)+E27</f>
        <v>0.41832550691486103</v>
      </c>
      <c r="H27" s="5"/>
      <c r="I27" s="6">
        <f t="shared" ref="I27:J31" si="26">+I26</f>
        <v>0.19990000000000002</v>
      </c>
      <c r="J27" s="6">
        <f t="shared" si="26"/>
        <v>0.98</v>
      </c>
      <c r="K27" s="4">
        <f>NORMDIST(NORMSINV(I27),G27,1,TRUE)</f>
        <v>0.10377986137966842</v>
      </c>
      <c r="L27" s="4">
        <f>NORMDIST(NORMSINV(J27),G27,1,TRUE)</f>
        <v>0.94901984021680486</v>
      </c>
      <c r="N27" s="8">
        <f>+(1-L27)/(1-J27)/K27*I27</f>
        <v>4.9098803010432688</v>
      </c>
      <c r="O27" s="8"/>
      <c r="P27" s="4">
        <f t="shared" si="24"/>
        <v>9.011969895673122E-2</v>
      </c>
      <c r="Q27" s="4">
        <f t="shared" si="25"/>
        <v>0.11</v>
      </c>
      <c r="T27" t="str">
        <f>IF(T26&gt;0,ROUND(T26*100,1),"__")</f>
        <v>__</v>
      </c>
      <c r="V27" s="28" t="str">
        <f>IF(T26&gt;0,IF(Q$60&gt;0,ROUND(V26*100,0),"__"),"__")</f>
        <v>__</v>
      </c>
      <c r="W27" t="str">
        <f>IF(Y26&gt;0,IF($Q$60&gt; 0,ROUND(W26*100,1),"__"),"__")</f>
        <v>__</v>
      </c>
      <c r="Y27" t="str">
        <f>IF(Y26&gt;0,ROUND(Y26*100,0),"__")</f>
        <v>__</v>
      </c>
    </row>
    <row r="28" spans="2:28" hidden="1">
      <c r="B28" s="6">
        <f t="shared" si="18"/>
        <v>0.05</v>
      </c>
      <c r="C28" s="20">
        <f>+MAX(C$60:C$78) + 2%</f>
        <v>0.12000000000000001</v>
      </c>
      <c r="D28" s="5"/>
      <c r="E28" s="5">
        <f>NORMSINV(1-B28)</f>
        <v>1.6448536269514715</v>
      </c>
      <c r="G28" s="7">
        <f>-NORMSINV(1-C28)+E28</f>
        <v>0.46986683488538117</v>
      </c>
      <c r="H28" s="5"/>
      <c r="I28" s="6">
        <f t="shared" si="26"/>
        <v>0.19990000000000002</v>
      </c>
      <c r="J28" s="6">
        <f t="shared" si="26"/>
        <v>0.98</v>
      </c>
      <c r="K28" s="4">
        <f>NORMDIST(NORMSINV(I28),G28,1,TRUE)</f>
        <v>9.4786166113824608E-2</v>
      </c>
      <c r="L28" s="4">
        <f>NORMDIST(NORMSINV(J28),G28,1,TRUE)</f>
        <v>0.94338972148147082</v>
      </c>
      <c r="N28" s="8">
        <f>+(1-L28)/(1-J28)/K28*I28</f>
        <v>5.969433694714799</v>
      </c>
      <c r="O28" s="8"/>
      <c r="P28" s="4">
        <f t="shared" si="24"/>
        <v>0.96943369471479901</v>
      </c>
      <c r="Q28" s="4">
        <f t="shared" si="25"/>
        <v>-9</v>
      </c>
      <c r="T28" s="14"/>
    </row>
    <row r="29" spans="2:28" hidden="1">
      <c r="B29" s="6">
        <f t="shared" si="18"/>
        <v>0.05</v>
      </c>
      <c r="C29" s="20">
        <f>+MAX(C$60:C$78) + 3%</f>
        <v>0.13</v>
      </c>
      <c r="D29" s="5"/>
      <c r="E29" s="5">
        <f>NORMSINV(1-B29)</f>
        <v>1.6448536269514715</v>
      </c>
      <c r="G29" s="7">
        <f>-NORMSINV(1-C29)+E29</f>
        <v>0.51846249791267018</v>
      </c>
      <c r="H29" s="5"/>
      <c r="I29" s="6">
        <f t="shared" si="26"/>
        <v>0.19990000000000002</v>
      </c>
      <c r="J29" s="6">
        <f t="shared" si="26"/>
        <v>0.98</v>
      </c>
      <c r="K29" s="4">
        <f>NORMDIST(NORMSINV(I29),G29,1,TRUE)</f>
        <v>8.6845209433183815E-2</v>
      </c>
      <c r="L29" s="4">
        <f>NORMDIST(NORMSINV(J29),G29,1,TRUE)</f>
        <v>0.93764325490952627</v>
      </c>
      <c r="N29" s="8">
        <f>+(1-L29)/(1-J29)/K29*I29</f>
        <v>7.1766269118021917</v>
      </c>
      <c r="O29" s="8"/>
      <c r="P29" s="4">
        <f t="shared" si="24"/>
        <v>2.1766269118021917</v>
      </c>
      <c r="Q29" s="4">
        <f t="shared" si="25"/>
        <v>-9</v>
      </c>
      <c r="T29" s="14"/>
    </row>
    <row r="30" spans="2:28" hidden="1">
      <c r="B30" s="6">
        <f t="shared" si="18"/>
        <v>0.05</v>
      </c>
      <c r="C30" s="20">
        <f>+MAX(C$60:C$78) + 4%</f>
        <v>0.14000000000000001</v>
      </c>
      <c r="D30" s="5"/>
      <c r="E30" s="5">
        <f>NORMSINV(1-B30)</f>
        <v>1.6448536269514715</v>
      </c>
      <c r="G30" s="7">
        <f>-NORMSINV(1-C30)+E30</f>
        <v>0.56453428613651502</v>
      </c>
      <c r="H30" s="5"/>
      <c r="I30" s="6">
        <f t="shared" si="26"/>
        <v>0.19990000000000002</v>
      </c>
      <c r="J30" s="6">
        <f t="shared" si="26"/>
        <v>0.98</v>
      </c>
      <c r="K30" s="4">
        <f>NORMDIST(NORMSINV(I30),G30,1,TRUE)</f>
        <v>7.9785958423325906E-2</v>
      </c>
      <c r="L30" s="4">
        <f>NORMDIST(NORMSINV(J30),G30,1,TRUE)</f>
        <v>0.93178456952257882</v>
      </c>
      <c r="N30" s="8">
        <f>+(1-L30)/(1-J30)/K30*I30</f>
        <v>8.5455290767365391</v>
      </c>
      <c r="O30" s="8"/>
      <c r="P30" s="4">
        <f t="shared" si="24"/>
        <v>3.5455290767365391</v>
      </c>
      <c r="Q30" s="4">
        <f t="shared" si="25"/>
        <v>-9</v>
      </c>
      <c r="T30" s="14"/>
    </row>
    <row r="31" spans="2:28" hidden="1">
      <c r="B31" s="6">
        <f t="shared" si="18"/>
        <v>0.05</v>
      </c>
      <c r="C31" s="20">
        <f>+MAX(C$60:C$78) + 5%</f>
        <v>0.15000000000000002</v>
      </c>
      <c r="D31" s="5"/>
      <c r="E31" s="5">
        <f>NORMSINV(1-B31)</f>
        <v>1.6448536269514715</v>
      </c>
      <c r="G31" s="7">
        <f>-NORMSINV(1-C31)+E31</f>
        <v>0.6084202374576817</v>
      </c>
      <c r="H31" s="5"/>
      <c r="I31" s="6">
        <f t="shared" si="26"/>
        <v>0.19990000000000002</v>
      </c>
      <c r="J31" s="6">
        <f t="shared" si="26"/>
        <v>0.98</v>
      </c>
      <c r="K31" s="4">
        <f>NORMDIST(NORMSINV(I31),G31,1,TRUE)</f>
        <v>7.3473682456455747E-2</v>
      </c>
      <c r="L31" s="4">
        <f>NORMDIST(NORMSINV(J31),G31,1,TRUE)</f>
        <v>0.92581720618430319</v>
      </c>
      <c r="N31" s="8">
        <f>+(1-L31)/(1-J31)/K31*I31</f>
        <v>10.091464037171601</v>
      </c>
      <c r="O31" s="8"/>
      <c r="P31" s="4">
        <f t="shared" si="24"/>
        <v>5.0914640371716011</v>
      </c>
      <c r="Q31" s="4">
        <f t="shared" si="25"/>
        <v>-9</v>
      </c>
      <c r="T31" s="14"/>
    </row>
    <row r="32" spans="2:28" hidden="1">
      <c r="B32" s="6"/>
      <c r="C32" s="20"/>
      <c r="D32" s="5"/>
      <c r="E32" s="5"/>
      <c r="G32" s="7"/>
      <c r="H32" s="5"/>
      <c r="I32" s="6"/>
      <c r="J32" s="6"/>
      <c r="N32" s="8"/>
      <c r="O32" s="8"/>
      <c r="T32" s="14"/>
    </row>
    <row r="33" spans="2:22" hidden="1">
      <c r="B33" s="6">
        <f>B26</f>
        <v>0.05</v>
      </c>
      <c r="C33" s="20">
        <f>+MAX(Q$26:Q$31)-0.5%</f>
        <v>0.105</v>
      </c>
      <c r="D33" s="5"/>
      <c r="E33" s="5">
        <f>NORMSINV(1-B33)</f>
        <v>1.6448536269514715</v>
      </c>
      <c r="G33" s="7">
        <f>-NORMSINV(1-C33)+E33</f>
        <v>0.39128818848102043</v>
      </c>
      <c r="H33" s="5"/>
      <c r="I33" s="6">
        <f>+I30</f>
        <v>0.19990000000000002</v>
      </c>
      <c r="J33" s="6">
        <f>+J30</f>
        <v>0.98</v>
      </c>
      <c r="K33" s="4">
        <f>NORMDIST(NORMSINV(I33),G33,1,TRUE)</f>
        <v>0.10873814484411326</v>
      </c>
      <c r="L33" s="4">
        <f>NORMDIST(NORMSINV(J33),G33,1,TRUE)</f>
        <v>0.95178978375203172</v>
      </c>
      <c r="N33" s="8">
        <f>+(1-L33)/(1-J33)/K33*I33</f>
        <v>4.4313898502612634</v>
      </c>
      <c r="O33" s="8"/>
      <c r="P33" s="4">
        <f t="shared" ref="P33:P43" si="27">+ABS(N33-$N$87)</f>
        <v>0.56861014973873658</v>
      </c>
      <c r="Q33" s="4">
        <f>+IF(P33=MIN(P$33:P$43),C33,-9)</f>
        <v>-9</v>
      </c>
      <c r="T33" s="14"/>
      <c r="V33" s="28"/>
    </row>
    <row r="34" spans="2:22" hidden="1">
      <c r="B34" s="6">
        <f>+B25</f>
        <v>0.05</v>
      </c>
      <c r="C34" s="20">
        <f>+MAX(Q$26:Q$31)-0.4%</f>
        <v>0.106</v>
      </c>
      <c r="D34" s="5"/>
      <c r="E34" s="5">
        <f t="shared" si="19"/>
        <v>1.6448536269514715</v>
      </c>
      <c r="G34" s="7">
        <f t="shared" si="20"/>
        <v>0.39676881582392354</v>
      </c>
      <c r="H34" s="5"/>
      <c r="I34" s="6">
        <f t="shared" ref="I34:J43" si="28">+I33</f>
        <v>0.19990000000000002</v>
      </c>
      <c r="J34" s="6">
        <f t="shared" si="28"/>
        <v>0.98</v>
      </c>
      <c r="K34" s="4">
        <f t="shared" si="21"/>
        <v>0.10771954898323809</v>
      </c>
      <c r="L34" s="4">
        <f t="shared" si="22"/>
        <v>0.95123825024241304</v>
      </c>
      <c r="N34" s="8">
        <f t="shared" si="23"/>
        <v>4.5244683386385143</v>
      </c>
      <c r="O34" s="8"/>
      <c r="P34" s="4">
        <f t="shared" si="27"/>
        <v>0.47553166136148572</v>
      </c>
      <c r="Q34" s="4">
        <f t="shared" ref="Q34:Q43" si="29">+IF(P34=MIN(P$33:P$43),C34,-9)</f>
        <v>-9</v>
      </c>
      <c r="T34" s="14"/>
    </row>
    <row r="35" spans="2:22" hidden="1">
      <c r="B35" s="6">
        <f>+B26</f>
        <v>0.05</v>
      </c>
      <c r="C35" s="20">
        <f>+MAX(Q$26:Q$31)-0.3%</f>
        <v>0.107</v>
      </c>
      <c r="D35" s="5"/>
      <c r="E35" s="5">
        <f t="shared" si="19"/>
        <v>1.6448536269514715</v>
      </c>
      <c r="G35" s="7">
        <f t="shared" si="20"/>
        <v>0.40221220837359017</v>
      </c>
      <c r="H35" s="5"/>
      <c r="I35" s="6">
        <f t="shared" si="28"/>
        <v>0.19990000000000002</v>
      </c>
      <c r="J35" s="6">
        <f t="shared" si="28"/>
        <v>0.98</v>
      </c>
      <c r="K35" s="4">
        <f t="shared" si="21"/>
        <v>0.10671469523740618</v>
      </c>
      <c r="L35" s="4">
        <f t="shared" si="22"/>
        <v>0.95068548358095029</v>
      </c>
      <c r="N35" s="8">
        <f t="shared" si="23"/>
        <v>4.6188445791074919</v>
      </c>
      <c r="O35" s="8"/>
      <c r="P35" s="4">
        <f t="shared" si="27"/>
        <v>0.38115542089250809</v>
      </c>
      <c r="Q35" s="4">
        <f t="shared" si="29"/>
        <v>-9</v>
      </c>
      <c r="T35" s="14"/>
    </row>
    <row r="36" spans="2:22" hidden="1">
      <c r="B36" s="6">
        <f t="shared" ref="B36:B56" si="30">+B33</f>
        <v>0.05</v>
      </c>
      <c r="C36" s="20">
        <f>+MAX(Q$26:Q$31)-0.2%</f>
        <v>0.108</v>
      </c>
      <c r="D36" s="5"/>
      <c r="E36" s="5">
        <f t="shared" si="19"/>
        <v>1.6448536269514715</v>
      </c>
      <c r="G36" s="7">
        <f t="shared" si="20"/>
        <v>0.40761902778864401</v>
      </c>
      <c r="H36" s="5"/>
      <c r="I36" s="6">
        <f t="shared" si="28"/>
        <v>0.19990000000000002</v>
      </c>
      <c r="J36" s="6">
        <f t="shared" si="28"/>
        <v>0.98</v>
      </c>
      <c r="K36" s="4">
        <f t="shared" si="21"/>
        <v>0.10572330723022591</v>
      </c>
      <c r="L36" s="4">
        <f t="shared" si="22"/>
        <v>0.95013148936987002</v>
      </c>
      <c r="N36" s="8">
        <f t="shared" si="23"/>
        <v>4.7145305685788061</v>
      </c>
      <c r="O36" s="8"/>
      <c r="P36" s="4">
        <f t="shared" si="27"/>
        <v>0.28546943142119385</v>
      </c>
      <c r="Q36" s="4">
        <f t="shared" si="29"/>
        <v>-9</v>
      </c>
      <c r="T36" s="14"/>
    </row>
    <row r="37" spans="2:22" hidden="1">
      <c r="B37" s="6">
        <f t="shared" si="30"/>
        <v>0.05</v>
      </c>
      <c r="C37" s="20">
        <f>+MAX(Q$26:Q$31)-0.1%</f>
        <v>0.109</v>
      </c>
      <c r="D37" s="5"/>
      <c r="E37" s="5">
        <f t="shared" si="19"/>
        <v>1.6448536269514715</v>
      </c>
      <c r="G37" s="7">
        <f t="shared" si="20"/>
        <v>0.41298991821648889</v>
      </c>
      <c r="H37" s="5"/>
      <c r="I37" s="6">
        <f t="shared" si="28"/>
        <v>0.19990000000000002</v>
      </c>
      <c r="J37" s="6">
        <f t="shared" si="28"/>
        <v>0.98</v>
      </c>
      <c r="K37" s="4">
        <f t="shared" si="21"/>
        <v>0.10474511633227605</v>
      </c>
      <c r="L37" s="4">
        <f t="shared" si="22"/>
        <v>0.94957627311271331</v>
      </c>
      <c r="N37" s="8">
        <f t="shared" si="23"/>
        <v>4.8115384075728276</v>
      </c>
      <c r="O37" s="8"/>
      <c r="P37" s="4">
        <f t="shared" si="27"/>
        <v>0.18846159242717242</v>
      </c>
      <c r="Q37" s="4">
        <f t="shared" si="29"/>
        <v>-9</v>
      </c>
      <c r="T37" s="14"/>
    </row>
    <row r="38" spans="2:22" hidden="1">
      <c r="B38" s="6">
        <f t="shared" si="30"/>
        <v>0.05</v>
      </c>
      <c r="C38" s="20">
        <f>+MAX(Q$26:Q$31)-0%</f>
        <v>0.11</v>
      </c>
      <c r="D38" s="5"/>
      <c r="E38" s="5">
        <f t="shared" si="19"/>
        <v>1.6448536269514715</v>
      </c>
      <c r="G38" s="7">
        <f t="shared" si="20"/>
        <v>0.41832550691486103</v>
      </c>
      <c r="H38" s="5"/>
      <c r="I38" s="6">
        <f t="shared" si="28"/>
        <v>0.19990000000000002</v>
      </c>
      <c r="J38" s="6">
        <f t="shared" si="28"/>
        <v>0.98</v>
      </c>
      <c r="K38" s="4">
        <f t="shared" si="21"/>
        <v>0.10377986137966842</v>
      </c>
      <c r="L38" s="4">
        <f t="shared" si="22"/>
        <v>0.94901984021680486</v>
      </c>
      <c r="N38" s="8">
        <f t="shared" si="23"/>
        <v>4.9098803010432688</v>
      </c>
      <c r="O38" s="8"/>
      <c r="P38" s="4">
        <f t="shared" si="27"/>
        <v>9.011969895673122E-2</v>
      </c>
      <c r="Q38" s="4">
        <f t="shared" si="29"/>
        <v>-9</v>
      </c>
      <c r="T38" s="14"/>
    </row>
    <row r="39" spans="2:22" hidden="1">
      <c r="B39" s="6">
        <f t="shared" si="30"/>
        <v>0.05</v>
      </c>
      <c r="C39" s="20">
        <f>+MAX(Q$26:Q$31)+0.1%</f>
        <v>0.111</v>
      </c>
      <c r="D39" s="5"/>
      <c r="E39" s="5">
        <f t="shared" si="19"/>
        <v>1.6448536269514715</v>
      </c>
      <c r="G39" s="7">
        <f t="shared" si="20"/>
        <v>0.42362640484590197</v>
      </c>
      <c r="H39" s="5"/>
      <c r="I39" s="6">
        <f t="shared" si="28"/>
        <v>0.19990000000000002</v>
      </c>
      <c r="J39" s="6">
        <f t="shared" si="28"/>
        <v>0.98</v>
      </c>
      <c r="K39" s="4">
        <f t="shared" si="21"/>
        <v>0.10282728840518304</v>
      </c>
      <c r="L39" s="4">
        <f t="shared" si="22"/>
        <v>0.94846219599563419</v>
      </c>
      <c r="N39" s="8">
        <f t="shared" si="23"/>
        <v>5.0095685592120605</v>
      </c>
      <c r="O39" s="8"/>
      <c r="P39" s="4">
        <f t="shared" si="27"/>
        <v>9.5685592120604568E-3</v>
      </c>
      <c r="Q39" s="4">
        <f t="shared" si="29"/>
        <v>0.111</v>
      </c>
      <c r="T39" s="14"/>
    </row>
    <row r="40" spans="2:22" hidden="1">
      <c r="B40" s="6">
        <f t="shared" si="30"/>
        <v>0.05</v>
      </c>
      <c r="C40" s="20">
        <f>+MAX(Q$26:Q$31)+0.2%</f>
        <v>0.112</v>
      </c>
      <c r="D40" s="5"/>
      <c r="E40" s="5">
        <f t="shared" si="19"/>
        <v>1.6448536269514715</v>
      </c>
      <c r="G40" s="7">
        <f t="shared" si="20"/>
        <v>0.42889320724415292</v>
      </c>
      <c r="H40" s="5"/>
      <c r="I40" s="6">
        <f t="shared" si="28"/>
        <v>0.19990000000000002</v>
      </c>
      <c r="J40" s="6">
        <f t="shared" si="28"/>
        <v>0.98</v>
      </c>
      <c r="K40" s="4">
        <f t="shared" si="21"/>
        <v>0.10188715038131817</v>
      </c>
      <c r="L40" s="4">
        <f t="shared" si="22"/>
        <v>0.94790334567115919</v>
      </c>
      <c r="N40" s="8">
        <f t="shared" si="23"/>
        <v>5.1106155984144506</v>
      </c>
      <c r="O40" s="8"/>
      <c r="P40" s="4">
        <f t="shared" si="27"/>
        <v>0.11061559841445057</v>
      </c>
      <c r="Q40" s="4">
        <f t="shared" si="29"/>
        <v>-9</v>
      </c>
      <c r="T40" s="14"/>
    </row>
    <row r="41" spans="2:22" hidden="1">
      <c r="B41" s="6">
        <f t="shared" si="30"/>
        <v>0.05</v>
      </c>
      <c r="C41" s="20">
        <f>+MAX(Q$26:Q$31)+0.3%</f>
        <v>0.113</v>
      </c>
      <c r="D41" s="5"/>
      <c r="E41" s="5">
        <f t="shared" si="19"/>
        <v>1.6448536269514715</v>
      </c>
      <c r="G41" s="7">
        <f t="shared" si="20"/>
        <v>0.43412649415987348</v>
      </c>
      <c r="H41" s="5"/>
      <c r="I41" s="6">
        <f t="shared" si="28"/>
        <v>0.19990000000000002</v>
      </c>
      <c r="J41" s="6">
        <f t="shared" si="28"/>
        <v>0.98</v>
      </c>
      <c r="K41" s="4">
        <f t="shared" si="21"/>
        <v>0.10095920697462338</v>
      </c>
      <c r="L41" s="4">
        <f t="shared" si="22"/>
        <v>0.94734329437603015</v>
      </c>
      <c r="N41" s="8">
        <f t="shared" si="23"/>
        <v>5.2130339419550653</v>
      </c>
      <c r="O41" s="8"/>
      <c r="P41" s="4">
        <f t="shared" si="27"/>
        <v>0.21303394195506531</v>
      </c>
      <c r="Q41" s="4">
        <f t="shared" si="29"/>
        <v>-9</v>
      </c>
      <c r="T41" s="14"/>
    </row>
    <row r="42" spans="2:22" hidden="1">
      <c r="B42" s="6">
        <f t="shared" si="30"/>
        <v>0.05</v>
      </c>
      <c r="C42" s="20">
        <f>+MAX(Q$26:Q$31)+0.4%</f>
        <v>0.114</v>
      </c>
      <c r="D42" s="5"/>
      <c r="E42" s="5">
        <f t="shared" si="19"/>
        <v>1.6448536269514715</v>
      </c>
      <c r="G42" s="7">
        <f t="shared" si="20"/>
        <v>0.43932683097895353</v>
      </c>
      <c r="H42" s="5"/>
      <c r="I42" s="6">
        <f t="shared" si="28"/>
        <v>0.19990000000000002</v>
      </c>
      <c r="J42" s="6">
        <f t="shared" si="28"/>
        <v>0.98</v>
      </c>
      <c r="K42" s="4">
        <f t="shared" si="21"/>
        <v>0.10004322431072932</v>
      </c>
      <c r="L42" s="4">
        <f t="shared" si="22"/>
        <v>0.94678204715573988</v>
      </c>
      <c r="N42" s="8">
        <f t="shared" si="23"/>
        <v>5.3168362209746718</v>
      </c>
      <c r="O42" s="8"/>
      <c r="P42" s="4">
        <f t="shared" si="27"/>
        <v>0.31683622097467179</v>
      </c>
      <c r="Q42" s="4">
        <f t="shared" si="29"/>
        <v>-9</v>
      </c>
      <c r="T42" s="14"/>
    </row>
    <row r="43" spans="2:22" hidden="1">
      <c r="B43" s="6">
        <f t="shared" si="30"/>
        <v>0.05</v>
      </c>
      <c r="C43" s="20">
        <f>+MAX(Q$26:Q$31)+0.5%</f>
        <v>0.115</v>
      </c>
      <c r="D43" s="5"/>
      <c r="E43" s="5">
        <f t="shared" si="19"/>
        <v>1.6448536269514715</v>
      </c>
      <c r="G43" s="7">
        <f t="shared" si="20"/>
        <v>0.44449476892061179</v>
      </c>
      <c r="H43" s="5"/>
      <c r="I43" s="6">
        <f t="shared" si="28"/>
        <v>0.19990000000000002</v>
      </c>
      <c r="J43" s="6">
        <f t="shared" si="28"/>
        <v>0.98</v>
      </c>
      <c r="K43" s="4">
        <f t="shared" si="21"/>
        <v>9.9138974749524419E-2</v>
      </c>
      <c r="L43" s="4">
        <f t="shared" si="22"/>
        <v>0.94621960897070434</v>
      </c>
      <c r="N43" s="8">
        <f t="shared" si="23"/>
        <v>5.4220351753273333</v>
      </c>
      <c r="O43" s="8"/>
      <c r="P43" s="4">
        <f t="shared" si="27"/>
        <v>0.42203517532733326</v>
      </c>
      <c r="Q43" s="4">
        <f t="shared" si="29"/>
        <v>-9</v>
      </c>
      <c r="T43" s="14"/>
    </row>
    <row r="44" spans="2:22" hidden="1">
      <c r="B44" s="6">
        <f t="shared" si="30"/>
        <v>0.05</v>
      </c>
      <c r="C44" s="20"/>
      <c r="D44" s="5"/>
      <c r="E44" s="5"/>
      <c r="G44" s="7"/>
      <c r="H44" s="5"/>
      <c r="I44" s="6"/>
      <c r="J44" s="6"/>
      <c r="N44" s="8"/>
      <c r="O44" s="8"/>
      <c r="T44" s="14"/>
    </row>
    <row r="45" spans="2:22" hidden="1">
      <c r="B45" s="6">
        <f>B33</f>
        <v>0.05</v>
      </c>
      <c r="C45" s="23">
        <f>+MAX(Q$33:Q$43)-0.05%</f>
        <v>0.1105</v>
      </c>
      <c r="D45" s="5"/>
      <c r="E45" s="5">
        <f>NORMSINV(1-B45)</f>
        <v>1.6448536269514715</v>
      </c>
      <c r="G45" s="25">
        <f>-NORMSINV(1-C45)+E45</f>
        <v>0.42098025466200739</v>
      </c>
      <c r="H45" s="5"/>
      <c r="I45" s="6">
        <f t="shared" ref="I45:J55" si="31">+I33</f>
        <v>0.19990000000000002</v>
      </c>
      <c r="J45" s="6">
        <f t="shared" si="31"/>
        <v>0.98</v>
      </c>
      <c r="K45" s="4">
        <f>NORMDIST(NORMSINV(I45),G45,1,TRUE)</f>
        <v>0.10330200524409648</v>
      </c>
      <c r="L45" s="4">
        <f>NORMDIST(NORMSINV(J45),G45,1,TRUE)</f>
        <v>0.94874116919338614</v>
      </c>
      <c r="N45" s="8">
        <f>+(1-L45)/(1-J45)/K45*I45</f>
        <v>4.9595553610164211</v>
      </c>
      <c r="O45" s="8"/>
      <c r="P45" s="24">
        <f t="shared" ref="P45:P55" si="32">+ABS(N45-$N$87)</f>
        <v>4.0444638983578862E-2</v>
      </c>
      <c r="Q45" s="4">
        <f>+IF(P45=MIN(P$45:P$55),G45,-9)</f>
        <v>-9</v>
      </c>
      <c r="T45" s="14"/>
    </row>
    <row r="46" spans="2:22" hidden="1">
      <c r="B46" s="6">
        <f t="shared" si="30"/>
        <v>0.05</v>
      </c>
      <c r="C46" s="23">
        <f>+MAX(Q$33:Q$43)-0.04%</f>
        <v>0.1106</v>
      </c>
      <c r="D46" s="5"/>
      <c r="E46" s="5">
        <f t="shared" ref="E46:E55" si="33">NORMSINV(1-B46)</f>
        <v>1.6448536269514715</v>
      </c>
      <c r="G46" s="25">
        <f t="shared" ref="G46:G55" si="34">-NORMSINV(1-C46)+E46</f>
        <v>0.4215101701246966</v>
      </c>
      <c r="H46" s="5"/>
      <c r="I46" s="6">
        <f t="shared" si="31"/>
        <v>0.19990000000000002</v>
      </c>
      <c r="J46" s="6">
        <f t="shared" si="31"/>
        <v>0.98</v>
      </c>
      <c r="K46" s="4">
        <f t="shared" ref="K46:K55" si="35">NORMDIST(NORMSINV(I46),G46,1,TRUE)</f>
        <v>0.1032068117198997</v>
      </c>
      <c r="L46" s="4">
        <f t="shared" ref="L46:L55" si="36">NORMDIST(NORMSINV(J46),G46,1,TRUE)</f>
        <v>0.9486853987069046</v>
      </c>
      <c r="N46" s="8">
        <f t="shared" ref="N46:N55" si="37">+(1-L46)/(1-J46)/K46*I46</f>
        <v>4.9695308999221401</v>
      </c>
      <c r="O46" s="8"/>
      <c r="P46" s="24">
        <f t="shared" si="32"/>
        <v>3.0469100077859856E-2</v>
      </c>
      <c r="Q46" s="4">
        <f t="shared" ref="Q46:Q55" si="38">+IF(P46=MIN(P$45:P$55),G46,-9)</f>
        <v>-9</v>
      </c>
      <c r="T46" s="14"/>
    </row>
    <row r="47" spans="2:22" hidden="1">
      <c r="B47" s="6">
        <f t="shared" si="30"/>
        <v>0.05</v>
      </c>
      <c r="C47" s="23">
        <f>+MAX(Q$33:Q$43)-0.03%</f>
        <v>0.11070000000000001</v>
      </c>
      <c r="D47" s="5"/>
      <c r="E47" s="5">
        <f t="shared" si="33"/>
        <v>1.6448536269514715</v>
      </c>
      <c r="G47" s="25">
        <f t="shared" si="34"/>
        <v>0.4220397422823412</v>
      </c>
      <c r="H47" s="5"/>
      <c r="I47" s="6">
        <f t="shared" si="31"/>
        <v>0.19990000000000002</v>
      </c>
      <c r="J47" s="6">
        <f t="shared" si="31"/>
        <v>0.98</v>
      </c>
      <c r="K47" s="4">
        <f t="shared" si="35"/>
        <v>0.1031117435195498</v>
      </c>
      <c r="L47" s="4">
        <f t="shared" si="36"/>
        <v>0.94862961613868502</v>
      </c>
      <c r="N47" s="8">
        <f t="shared" si="37"/>
        <v>4.979519976757004</v>
      </c>
      <c r="O47" s="8"/>
      <c r="P47" s="24">
        <f t="shared" si="32"/>
        <v>2.0480023242996026E-2</v>
      </c>
      <c r="Q47" s="4">
        <f t="shared" si="38"/>
        <v>-9</v>
      </c>
      <c r="T47" s="14"/>
      <c r="U47" s="5"/>
    </row>
    <row r="48" spans="2:22" hidden="1">
      <c r="B48" s="6">
        <f t="shared" si="30"/>
        <v>0.05</v>
      </c>
      <c r="C48" s="23">
        <f>+MAX(Q$33:Q$43)-0.02%</f>
        <v>0.1108</v>
      </c>
      <c r="D48" s="5"/>
      <c r="E48" s="5">
        <f t="shared" si="33"/>
        <v>1.6448536269514715</v>
      </c>
      <c r="G48" s="25">
        <f t="shared" si="34"/>
        <v>0.42256897172779739</v>
      </c>
      <c r="H48" s="5"/>
      <c r="I48" s="6">
        <f t="shared" si="31"/>
        <v>0.19990000000000002</v>
      </c>
      <c r="J48" s="6">
        <f t="shared" si="31"/>
        <v>0.98</v>
      </c>
      <c r="K48" s="4">
        <f t="shared" si="35"/>
        <v>0.10301680039706883</v>
      </c>
      <c r="L48" s="4">
        <f t="shared" si="36"/>
        <v>0.94857382149393543</v>
      </c>
      <c r="N48" s="8">
        <f t="shared" si="37"/>
        <v>4.9895226039532492</v>
      </c>
      <c r="O48" s="8"/>
      <c r="P48" s="24">
        <f t="shared" si="32"/>
        <v>1.0477396046750798E-2</v>
      </c>
      <c r="Q48" s="4">
        <f t="shared" si="38"/>
        <v>-9</v>
      </c>
      <c r="T48" s="14"/>
    </row>
    <row r="49" spans="2:21" hidden="1">
      <c r="B49" s="6">
        <f t="shared" si="30"/>
        <v>0.05</v>
      </c>
      <c r="C49" s="23">
        <f>+MAX(Q$33:Q$43)-0.01%</f>
        <v>0.1109</v>
      </c>
      <c r="D49" s="5"/>
      <c r="E49" s="5">
        <f t="shared" si="33"/>
        <v>1.6448536269514715</v>
      </c>
      <c r="G49" s="25">
        <f t="shared" si="34"/>
        <v>0.42309785905238662</v>
      </c>
      <c r="H49" s="5"/>
      <c r="I49" s="6">
        <f t="shared" si="31"/>
        <v>0.19990000000000002</v>
      </c>
      <c r="J49" s="6">
        <f t="shared" si="31"/>
        <v>0.98</v>
      </c>
      <c r="K49" s="4">
        <f t="shared" si="35"/>
        <v>0.10292198210715568</v>
      </c>
      <c r="L49" s="4">
        <f t="shared" si="36"/>
        <v>0.94851801477785513</v>
      </c>
      <c r="N49" s="8">
        <f t="shared" si="37"/>
        <v>4.9995387939537403</v>
      </c>
      <c r="O49" s="8"/>
      <c r="P49" s="24">
        <f t="shared" si="32"/>
        <v>4.6120604625965456E-4</v>
      </c>
      <c r="Q49" s="4">
        <f t="shared" si="38"/>
        <v>0.42309785905238662</v>
      </c>
      <c r="T49" s="14"/>
      <c r="U49" s="5"/>
    </row>
    <row r="50" spans="2:21" hidden="1">
      <c r="B50" s="6">
        <f t="shared" si="30"/>
        <v>0.05</v>
      </c>
      <c r="C50" s="23">
        <f>+MAX(Q$33:Q$43)-0%</f>
        <v>0.111</v>
      </c>
      <c r="D50" s="5"/>
      <c r="E50" s="5">
        <f t="shared" si="33"/>
        <v>1.6448536269514715</v>
      </c>
      <c r="G50" s="25">
        <f t="shared" si="34"/>
        <v>0.42362640484590197</v>
      </c>
      <c r="H50" s="5"/>
      <c r="I50" s="6">
        <f t="shared" si="31"/>
        <v>0.19990000000000002</v>
      </c>
      <c r="J50" s="6">
        <f t="shared" si="31"/>
        <v>0.98</v>
      </c>
      <c r="K50" s="4">
        <f t="shared" si="35"/>
        <v>0.10282728840518304</v>
      </c>
      <c r="L50" s="4">
        <f t="shared" si="36"/>
        <v>0.94846219599563419</v>
      </c>
      <c r="N50" s="8">
        <f t="shared" si="37"/>
        <v>5.0095685592120605</v>
      </c>
      <c r="O50" s="8"/>
      <c r="P50" s="24">
        <f t="shared" si="32"/>
        <v>9.5685592120604568E-3</v>
      </c>
      <c r="Q50" s="4">
        <f t="shared" si="38"/>
        <v>-9</v>
      </c>
      <c r="T50" s="14"/>
    </row>
    <row r="51" spans="2:21" hidden="1">
      <c r="B51" s="6">
        <f t="shared" si="30"/>
        <v>0.05</v>
      </c>
      <c r="C51" s="23">
        <f>+MAX(Q$33:Q$43)+0.01%</f>
        <v>0.1111</v>
      </c>
      <c r="D51" s="5"/>
      <c r="E51" s="5">
        <f t="shared" si="33"/>
        <v>1.6448536269514715</v>
      </c>
      <c r="G51" s="25">
        <f t="shared" si="34"/>
        <v>0.42415460969661423</v>
      </c>
      <c r="H51" s="5"/>
      <c r="I51" s="6">
        <f t="shared" si="31"/>
        <v>0.19990000000000002</v>
      </c>
      <c r="J51" s="6">
        <f t="shared" si="31"/>
        <v>0.98</v>
      </c>
      <c r="K51" s="4">
        <f t="shared" si="35"/>
        <v>0.10273271904719512</v>
      </c>
      <c r="L51" s="4">
        <f t="shared" si="36"/>
        <v>0.94840636515245391</v>
      </c>
      <c r="N51" s="8">
        <f t="shared" si="37"/>
        <v>5.0196119121924685</v>
      </c>
      <c r="O51" s="8"/>
      <c r="P51" s="24">
        <f t="shared" si="32"/>
        <v>1.9611912192468495E-2</v>
      </c>
      <c r="Q51" s="4">
        <f t="shared" si="38"/>
        <v>-9</v>
      </c>
      <c r="T51" s="14"/>
      <c r="U51" s="5"/>
    </row>
    <row r="52" spans="2:21" hidden="1">
      <c r="B52" s="6">
        <f t="shared" si="30"/>
        <v>0.05</v>
      </c>
      <c r="C52" s="23">
        <f>+MAX(Q$33:Q$43)+0.02%</f>
        <v>0.11120000000000001</v>
      </c>
      <c r="D52" s="5"/>
      <c r="E52" s="5">
        <f t="shared" si="33"/>
        <v>1.6448536269514715</v>
      </c>
      <c r="G52" s="25">
        <f t="shared" si="34"/>
        <v>0.42468247419127469</v>
      </c>
      <c r="H52" s="5"/>
      <c r="I52" s="6">
        <f t="shared" si="31"/>
        <v>0.19990000000000002</v>
      </c>
      <c r="J52" s="6">
        <f t="shared" si="31"/>
        <v>0.98</v>
      </c>
      <c r="K52" s="4">
        <f t="shared" si="35"/>
        <v>0.10263827378990562</v>
      </c>
      <c r="L52" s="4">
        <f t="shared" si="36"/>
        <v>0.94835052225348659</v>
      </c>
      <c r="N52" s="8">
        <f t="shared" si="37"/>
        <v>5.0296688653699126</v>
      </c>
      <c r="O52" s="8"/>
      <c r="P52" s="24">
        <f t="shared" si="32"/>
        <v>2.9668865369912645E-2</v>
      </c>
      <c r="Q52" s="4">
        <f t="shared" si="38"/>
        <v>-9</v>
      </c>
      <c r="T52" s="14"/>
      <c r="U52" s="5"/>
    </row>
    <row r="53" spans="2:21" hidden="1">
      <c r="B53" s="6">
        <f t="shared" si="30"/>
        <v>0.05</v>
      </c>
      <c r="C53" s="23">
        <f>+MAX(Q$33:Q$43)+0.03%</f>
        <v>0.1113</v>
      </c>
      <c r="D53" s="5"/>
      <c r="E53" s="5">
        <f t="shared" si="33"/>
        <v>1.6448536269514715</v>
      </c>
      <c r="G53" s="25">
        <f t="shared" si="34"/>
        <v>0.42520999891512323</v>
      </c>
      <c r="H53" s="5"/>
      <c r="I53" s="6">
        <f t="shared" si="31"/>
        <v>0.19990000000000002</v>
      </c>
      <c r="J53" s="6">
        <f t="shared" si="31"/>
        <v>0.98</v>
      </c>
      <c r="K53" s="4">
        <f t="shared" si="35"/>
        <v>0.1025439523906948</v>
      </c>
      <c r="L53" s="4">
        <f t="shared" si="36"/>
        <v>0.94829466730389556</v>
      </c>
      <c r="N53" s="8">
        <f t="shared" si="37"/>
        <v>5.0397394312300694</v>
      </c>
      <c r="O53" s="8"/>
      <c r="P53" s="24">
        <f t="shared" si="32"/>
        <v>3.97394312300694E-2</v>
      </c>
      <c r="Q53" s="4">
        <f t="shared" si="38"/>
        <v>-9</v>
      </c>
      <c r="T53" s="14"/>
      <c r="U53" s="5"/>
    </row>
    <row r="54" spans="2:21" hidden="1">
      <c r="B54" s="6">
        <f t="shared" si="30"/>
        <v>0.05</v>
      </c>
      <c r="C54" s="23">
        <f>+MAX(Q$33:Q$43)+0.04%</f>
        <v>0.1114</v>
      </c>
      <c r="D54" s="5"/>
      <c r="E54" s="5">
        <f t="shared" si="33"/>
        <v>1.6448536269514715</v>
      </c>
      <c r="G54" s="25">
        <f t="shared" si="34"/>
        <v>0.42573718445189024</v>
      </c>
      <c r="H54" s="5"/>
      <c r="I54" s="6">
        <f t="shared" si="31"/>
        <v>0.19990000000000002</v>
      </c>
      <c r="J54" s="6">
        <f t="shared" si="31"/>
        <v>0.98</v>
      </c>
      <c r="K54" s="4">
        <f t="shared" si="35"/>
        <v>0.10244975460760777</v>
      </c>
      <c r="L54" s="4">
        <f t="shared" si="36"/>
        <v>0.94823880030883534</v>
      </c>
      <c r="N54" s="8">
        <f t="shared" si="37"/>
        <v>5.0498236222692956</v>
      </c>
      <c r="O54" s="8"/>
      <c r="P54" s="24">
        <f t="shared" si="32"/>
        <v>4.9823622269295598E-2</v>
      </c>
      <c r="Q54" s="4">
        <f t="shared" si="38"/>
        <v>-9</v>
      </c>
      <c r="T54" s="14"/>
      <c r="U54" s="5"/>
    </row>
    <row r="55" spans="2:21" hidden="1">
      <c r="B55" s="6">
        <f t="shared" si="30"/>
        <v>0.05</v>
      </c>
      <c r="C55" s="23">
        <f>+MAX(Q$33:Q$43)+0.05%</f>
        <v>0.1115</v>
      </c>
      <c r="D55" s="5"/>
      <c r="E55" s="5">
        <f t="shared" si="33"/>
        <v>1.6448536269514715</v>
      </c>
      <c r="G55" s="25">
        <f t="shared" si="34"/>
        <v>0.42626403138380731</v>
      </c>
      <c r="H55" s="5"/>
      <c r="I55" s="6">
        <f t="shared" si="31"/>
        <v>0.19990000000000002</v>
      </c>
      <c r="J55" s="6">
        <f t="shared" si="31"/>
        <v>0.98</v>
      </c>
      <c r="K55" s="4">
        <f t="shared" si="35"/>
        <v>0.10235568019935114</v>
      </c>
      <c r="L55" s="4">
        <f t="shared" si="36"/>
        <v>0.9481829212734515</v>
      </c>
      <c r="N55" s="8">
        <f t="shared" si="37"/>
        <v>5.0599214509947155</v>
      </c>
      <c r="O55" s="8"/>
      <c r="P55" s="24">
        <f t="shared" si="32"/>
        <v>5.9921450994715464E-2</v>
      </c>
      <c r="Q55" s="4">
        <f t="shared" si="38"/>
        <v>-9</v>
      </c>
      <c r="T55" s="14"/>
      <c r="U55" s="5"/>
    </row>
    <row r="56" spans="2:21" hidden="1">
      <c r="B56" s="6">
        <f t="shared" si="30"/>
        <v>0.05</v>
      </c>
      <c r="C56" s="23"/>
      <c r="D56" s="5"/>
      <c r="E56" s="5"/>
      <c r="G56" s="7"/>
      <c r="H56" s="5"/>
      <c r="I56" s="6"/>
      <c r="J56" s="6"/>
      <c r="N56" s="8"/>
      <c r="O56" s="8"/>
      <c r="Q56" s="4">
        <v>-1</v>
      </c>
      <c r="T56" s="14"/>
      <c r="U56" s="5"/>
    </row>
    <row r="57" spans="2:21" hidden="1">
      <c r="B57" s="6"/>
      <c r="C57" s="23"/>
      <c r="D57" s="5"/>
      <c r="E57" s="5"/>
      <c r="G57" s="7"/>
      <c r="H57" s="5"/>
      <c r="I57" s="6"/>
      <c r="J57" s="6"/>
      <c r="N57" s="8"/>
      <c r="O57" s="8"/>
      <c r="T57" s="14"/>
      <c r="U57" s="5"/>
    </row>
    <row r="58" spans="2:21" hidden="1">
      <c r="B58" s="6"/>
      <c r="C58" s="23"/>
      <c r="D58" s="5"/>
      <c r="E58" s="5"/>
      <c r="G58" s="7"/>
      <c r="H58" s="5"/>
      <c r="I58" s="6"/>
      <c r="J58" s="6"/>
      <c r="N58" s="8"/>
      <c r="O58" s="8"/>
      <c r="T58" s="14"/>
      <c r="U58" s="5"/>
    </row>
    <row r="59" spans="2:21" hidden="1">
      <c r="B59" s="6"/>
      <c r="C59"/>
      <c r="D59"/>
      <c r="E59"/>
      <c r="F59"/>
      <c r="G59"/>
      <c r="H59"/>
      <c r="I59"/>
      <c r="J59"/>
      <c r="K59"/>
      <c r="N59" s="8"/>
    </row>
    <row r="60" spans="2:21" hidden="1">
      <c r="B60" s="6"/>
      <c r="C60" s="7">
        <f t="shared" ref="C60:C78" si="39">IF(AND($N$87 &gt; N4,$N$87 &lt; N5),C4,-9)</f>
        <v>-9</v>
      </c>
      <c r="D60" t="s">
        <v>25</v>
      </c>
      <c r="E60"/>
      <c r="F60"/>
      <c r="H60"/>
      <c r="I60"/>
      <c r="J60"/>
      <c r="N60" s="8" t="s">
        <v>19</v>
      </c>
      <c r="Q60" s="26">
        <f>+IF(MAX(C60:C78)=-9,-1,MAX(Q45:Q55))</f>
        <v>0.42309785905238662</v>
      </c>
    </row>
    <row r="61" spans="2:21" hidden="1">
      <c r="B61" s="6"/>
      <c r="C61" s="7">
        <f t="shared" si="39"/>
        <v>-9</v>
      </c>
      <c r="D61" t="s">
        <v>26</v>
      </c>
      <c r="E61"/>
      <c r="F61"/>
      <c r="H61"/>
      <c r="I61"/>
      <c r="J61"/>
      <c r="N61" s="8"/>
      <c r="Q61" s="8"/>
    </row>
    <row r="62" spans="2:21" hidden="1">
      <c r="B62" s="6"/>
      <c r="C62" s="7">
        <f t="shared" si="39"/>
        <v>0.1</v>
      </c>
      <c r="D62"/>
      <c r="E62"/>
      <c r="F62"/>
      <c r="H62"/>
      <c r="I62"/>
      <c r="J62"/>
      <c r="N62" s="8"/>
    </row>
    <row r="63" spans="2:21" hidden="1">
      <c r="B63" s="6"/>
      <c r="C63" s="7">
        <f t="shared" si="39"/>
        <v>-9</v>
      </c>
      <c r="D63"/>
      <c r="E63"/>
      <c r="F63"/>
      <c r="H63"/>
      <c r="I63"/>
      <c r="J63"/>
      <c r="N63" s="8"/>
    </row>
    <row r="64" spans="2:21" hidden="1">
      <c r="B64" s="6"/>
      <c r="C64" s="7">
        <f t="shared" si="39"/>
        <v>-9</v>
      </c>
      <c r="D64"/>
      <c r="E64"/>
      <c r="F64"/>
      <c r="H64"/>
      <c r="I64"/>
      <c r="J64"/>
      <c r="N64" s="8"/>
    </row>
    <row r="65" spans="2:15" hidden="1">
      <c r="B65" s="6"/>
      <c r="C65" s="7">
        <f t="shared" si="39"/>
        <v>-9</v>
      </c>
      <c r="D65"/>
      <c r="E65"/>
      <c r="F65"/>
      <c r="H65"/>
      <c r="I65"/>
      <c r="J65"/>
      <c r="N65" s="8"/>
    </row>
    <row r="66" spans="2:15" hidden="1">
      <c r="B66" s="6"/>
      <c r="C66" s="7">
        <f t="shared" si="39"/>
        <v>-9</v>
      </c>
      <c r="D66"/>
      <c r="E66"/>
      <c r="F66"/>
      <c r="H66"/>
      <c r="I66"/>
      <c r="J66"/>
      <c r="N66" s="8"/>
    </row>
    <row r="67" spans="2:15" hidden="1">
      <c r="B67" s="6"/>
      <c r="C67" s="7">
        <f t="shared" si="39"/>
        <v>-9</v>
      </c>
      <c r="D67"/>
      <c r="E67"/>
      <c r="F67" t="s">
        <v>28</v>
      </c>
      <c r="H67"/>
      <c r="I67"/>
      <c r="J67"/>
      <c r="N67" s="8"/>
    </row>
    <row r="68" spans="2:15" hidden="1">
      <c r="B68" s="6"/>
      <c r="C68" s="7">
        <f t="shared" si="39"/>
        <v>-9</v>
      </c>
      <c r="D68"/>
      <c r="E68"/>
      <c r="F68" t="s">
        <v>29</v>
      </c>
      <c r="H68"/>
      <c r="I68"/>
      <c r="J68"/>
      <c r="N68" s="8"/>
    </row>
    <row r="69" spans="2:15" hidden="1">
      <c r="B69" s="6"/>
      <c r="C69" s="7">
        <f t="shared" si="39"/>
        <v>-9</v>
      </c>
      <c r="D69"/>
      <c r="E69"/>
      <c r="F69"/>
      <c r="H69"/>
      <c r="I69"/>
      <c r="J69"/>
      <c r="N69" s="8"/>
    </row>
    <row r="70" spans="2:15" hidden="1">
      <c r="B70" s="6"/>
      <c r="C70" s="7">
        <f t="shared" si="39"/>
        <v>-9</v>
      </c>
      <c r="D70"/>
      <c r="E70"/>
      <c r="F70" t="s">
        <v>51</v>
      </c>
      <c r="G70" s="4">
        <f>+I169</f>
        <v>0</v>
      </c>
      <c r="H70"/>
      <c r="I70"/>
      <c r="J70"/>
      <c r="N70" s="8"/>
    </row>
    <row r="71" spans="2:15" hidden="1">
      <c r="B71" s="6"/>
      <c r="C71" s="7">
        <f t="shared" si="39"/>
        <v>-9</v>
      </c>
      <c r="D71"/>
      <c r="E71"/>
      <c r="F71"/>
      <c r="H71"/>
      <c r="I71"/>
      <c r="J71"/>
      <c r="N71" s="8"/>
    </row>
    <row r="72" spans="2:15" hidden="1">
      <c r="B72" s="6"/>
      <c r="C72" s="7">
        <f t="shared" si="39"/>
        <v>-9</v>
      </c>
      <c r="D72"/>
      <c r="E72"/>
      <c r="F72" t="s">
        <v>52</v>
      </c>
      <c r="G72" s="4" t="e">
        <f>+T26/V26/G70*(1000-G70)</f>
        <v>#DIV/0!</v>
      </c>
      <c r="H72"/>
      <c r="I72" t="s">
        <v>52</v>
      </c>
      <c r="J72" s="4" t="e">
        <f>+W26/Y26/G70*(1000-G70)</f>
        <v>#DIV/0!</v>
      </c>
      <c r="N72" s="8"/>
    </row>
    <row r="73" spans="2:15" hidden="1">
      <c r="B73" s="6"/>
      <c r="C73" s="7">
        <f t="shared" si="39"/>
        <v>-9</v>
      </c>
      <c r="D73"/>
      <c r="E73"/>
      <c r="F73" t="s">
        <v>53</v>
      </c>
      <c r="G73" s="4" t="e">
        <f>IF(G72&gt;10,ROUND(G72,0),IF(G72&gt;1,ROUND(G72,1),IF(1/G72&gt;10,ROUND(1/G72,0),ROUND(1/G72,1))))</f>
        <v>#DIV/0!</v>
      </c>
      <c r="H73"/>
      <c r="I73" t="s">
        <v>54</v>
      </c>
      <c r="J73" s="4" t="e">
        <f>IF(J72&gt;10,ROUND(J72,0),IF(J72&gt;1,ROUND(J72,1),IF(1/J72&gt;10,ROUND(1/J72,0),ROUND(1/J72,1))))</f>
        <v>#DIV/0!</v>
      </c>
      <c r="N73" s="8"/>
    </row>
    <row r="74" spans="2:15" hidden="1">
      <c r="B74" s="6"/>
      <c r="C74" s="7">
        <f t="shared" si="39"/>
        <v>-9</v>
      </c>
      <c r="D74"/>
      <c r="E74"/>
      <c r="F74"/>
      <c r="H74"/>
      <c r="I74"/>
      <c r="N74" s="8"/>
    </row>
    <row r="75" spans="2:15" hidden="1">
      <c r="B75" s="6"/>
      <c r="C75" s="7">
        <f t="shared" si="39"/>
        <v>-9</v>
      </c>
      <c r="D75"/>
      <c r="E75"/>
      <c r="F75"/>
      <c r="H75"/>
      <c r="I75"/>
      <c r="J75"/>
      <c r="N75" s="8"/>
    </row>
    <row r="76" spans="2:15" hidden="1">
      <c r="B76" s="6"/>
      <c r="C76" s="7">
        <f t="shared" si="39"/>
        <v>-9</v>
      </c>
      <c r="D76"/>
      <c r="E76"/>
      <c r="F76"/>
      <c r="H76"/>
      <c r="I76"/>
      <c r="J76"/>
      <c r="N76" s="8"/>
      <c r="O76" s="8"/>
    </row>
    <row r="77" spans="2:15" hidden="1">
      <c r="B77" s="6"/>
      <c r="C77" s="7">
        <f t="shared" si="39"/>
        <v>-9</v>
      </c>
      <c r="D77"/>
      <c r="E77"/>
      <c r="F77"/>
      <c r="H77"/>
      <c r="I77"/>
      <c r="J77"/>
      <c r="N77" s="8"/>
      <c r="O77" s="8"/>
    </row>
    <row r="78" spans="2:15" hidden="1">
      <c r="B78" s="6"/>
      <c r="C78" s="7">
        <f t="shared" si="39"/>
        <v>-9</v>
      </c>
      <c r="D78"/>
      <c r="E78"/>
      <c r="F78"/>
      <c r="H78"/>
      <c r="I78"/>
      <c r="J78"/>
      <c r="N78" s="8"/>
      <c r="O78" s="8"/>
    </row>
    <row r="79" spans="2:15" hidden="1">
      <c r="B79" s="6"/>
      <c r="C79">
        <v>-1</v>
      </c>
      <c r="D79"/>
      <c r="E79"/>
      <c r="F79"/>
      <c r="G79"/>
      <c r="H79"/>
      <c r="I79"/>
      <c r="J79"/>
      <c r="N79" s="8"/>
      <c r="O79" s="8"/>
    </row>
    <row r="80" spans="2:15" hidden="1">
      <c r="B80" s="6"/>
      <c r="C80" s="7"/>
      <c r="D80" s="7"/>
      <c r="E80"/>
      <c r="F80"/>
      <c r="G80"/>
      <c r="H80"/>
      <c r="I80"/>
      <c r="J80"/>
      <c r="N80" s="8"/>
      <c r="O80" s="8"/>
    </row>
    <row r="81" spans="2:20" hidden="1"/>
    <row r="82" spans="2:20" ht="15.75">
      <c r="D82" s="88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</row>
    <row r="83" spans="2:20" ht="15.75">
      <c r="D83" s="88" t="s">
        <v>66</v>
      </c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</row>
    <row r="84" spans="2:20" ht="15.75">
      <c r="D84" s="13"/>
    </row>
    <row r="85" spans="2:20" ht="15.75" customHeight="1">
      <c r="D85" s="90" t="s">
        <v>72</v>
      </c>
      <c r="E85" s="91"/>
      <c r="G85" s="9" t="s">
        <v>30</v>
      </c>
      <c r="I85" s="9"/>
      <c r="J85" s="9"/>
      <c r="K85" s="9"/>
      <c r="L85" s="10"/>
      <c r="N85" s="59">
        <v>0.2</v>
      </c>
      <c r="Q85" s="96" t="s">
        <v>74</v>
      </c>
      <c r="R85" s="97"/>
      <c r="S85" s="98"/>
    </row>
    <row r="86" spans="2:20" ht="15.75" customHeight="1">
      <c r="D86" s="92"/>
      <c r="E86" s="93"/>
      <c r="G86" s="9" t="s">
        <v>31</v>
      </c>
      <c r="I86" s="9"/>
      <c r="J86" s="9"/>
      <c r="K86" s="9"/>
      <c r="L86" s="10"/>
      <c r="N86" s="59">
        <v>0.02</v>
      </c>
      <c r="Q86" s="99"/>
      <c r="R86" s="100"/>
      <c r="S86" s="101"/>
    </row>
    <row r="87" spans="2:20" ht="15.75" customHeight="1">
      <c r="D87" s="94"/>
      <c r="E87" s="95"/>
      <c r="G87" s="9" t="s">
        <v>41</v>
      </c>
      <c r="I87" s="9"/>
      <c r="J87" s="9"/>
      <c r="K87" s="9"/>
      <c r="L87" s="10"/>
      <c r="N87" s="60">
        <v>5</v>
      </c>
      <c r="Q87" s="102"/>
      <c r="R87" s="103"/>
      <c r="S87" s="104"/>
    </row>
    <row r="88" spans="2:20" ht="15" customHeight="1">
      <c r="K88" s="35"/>
      <c r="N88" s="4">
        <v>0.1</v>
      </c>
      <c r="Q88" s="57"/>
    </row>
    <row r="89" spans="2:20" ht="15" customHeight="1">
      <c r="E89" s="18"/>
      <c r="F89"/>
      <c r="G89"/>
      <c r="H89"/>
      <c r="I89"/>
      <c r="J89"/>
      <c r="K89"/>
      <c r="P89" s="83" t="s">
        <v>67</v>
      </c>
      <c r="Q89" s="83" t="s">
        <v>69</v>
      </c>
      <c r="R89" s="83" t="s">
        <v>68</v>
      </c>
      <c r="S89" s="85"/>
      <c r="T89" s="86"/>
    </row>
    <row r="90" spans="2:20" ht="27" customHeight="1">
      <c r="B90" s="17"/>
      <c r="P90" s="84"/>
      <c r="Q90" s="87"/>
      <c r="R90" s="87"/>
      <c r="S90" s="85"/>
      <c r="T90" s="86"/>
    </row>
    <row r="91" spans="2:20" ht="15" customHeight="1">
      <c r="P91" s="12">
        <f t="shared" ref="P91:P111" si="40">+IF(C4&gt;B4-0.01,1-C4,"")</f>
        <v>0.99</v>
      </c>
      <c r="Q91" s="7">
        <f>+IF(C4&gt;B4-0.01,U4,"")</f>
        <v>2.3263478740408408</v>
      </c>
      <c r="R91" s="70">
        <f t="shared" ref="R91:R111" si="41">+IF(C4&gt;D4-0.01,AA4,"")</f>
        <v>2.446765396043229</v>
      </c>
      <c r="S91" s="71"/>
    </row>
    <row r="92" spans="2:20" ht="15" customHeight="1">
      <c r="P92" s="12">
        <f t="shared" si="40"/>
        <v>0.95</v>
      </c>
      <c r="Q92" s="7">
        <f t="shared" ref="Q92:Q111" si="42">+IF(C5&gt;B5-0.01,U5,"")</f>
        <v>1.6448536269514715</v>
      </c>
      <c r="R92" s="70">
        <f t="shared" si="41"/>
        <v>1.8338693780313398</v>
      </c>
      <c r="S92" s="71"/>
    </row>
    <row r="93" spans="2:20" ht="15" customHeight="1">
      <c r="P93" s="12">
        <f t="shared" si="40"/>
        <v>0.9</v>
      </c>
      <c r="Q93" s="7">
        <f t="shared" si="42"/>
        <v>1.2815515655446006</v>
      </c>
      <c r="R93" s="70">
        <f t="shared" si="41"/>
        <v>1.5725772350570217</v>
      </c>
      <c r="S93" s="71"/>
    </row>
    <row r="94" spans="2:20" ht="15" customHeight="1">
      <c r="P94" s="12">
        <f t="shared" si="40"/>
        <v>0.85</v>
      </c>
      <c r="Q94" s="7">
        <f t="shared" si="42"/>
        <v>1.0364333894937898</v>
      </c>
      <c r="R94" s="70">
        <f t="shared" si="41"/>
        <v>1.4176588998231741</v>
      </c>
      <c r="S94" s="71"/>
    </row>
    <row r="95" spans="2:20" ht="15" customHeight="1">
      <c r="P95" s="12">
        <f t="shared" si="40"/>
        <v>0.8</v>
      </c>
      <c r="Q95" s="7">
        <f t="shared" si="42"/>
        <v>0.84162123357291474</v>
      </c>
      <c r="R95" s="70">
        <f t="shared" si="41"/>
        <v>1.3054949525986141</v>
      </c>
      <c r="S95" s="71"/>
    </row>
    <row r="96" spans="2:20" ht="15" customHeight="1">
      <c r="P96" s="12">
        <f t="shared" si="40"/>
        <v>0.75</v>
      </c>
      <c r="Q96" s="7">
        <f t="shared" si="42"/>
        <v>0.67448975019608193</v>
      </c>
      <c r="R96" s="70">
        <f t="shared" si="41"/>
        <v>1.2163678792805439</v>
      </c>
      <c r="S96" s="71"/>
    </row>
    <row r="97" spans="9:19" ht="15" customHeight="1">
      <c r="P97" s="12">
        <f t="shared" si="40"/>
        <v>0.7</v>
      </c>
      <c r="Q97" s="7">
        <f t="shared" si="42"/>
        <v>0.52440051270804078</v>
      </c>
      <c r="R97" s="70">
        <f t="shared" si="41"/>
        <v>1.1415269945770208</v>
      </c>
      <c r="S97" s="71"/>
    </row>
    <row r="98" spans="9:19" ht="15" customHeight="1">
      <c r="P98" s="12">
        <f t="shared" si="40"/>
        <v>0.65</v>
      </c>
      <c r="Q98" s="7">
        <f t="shared" si="42"/>
        <v>0.38532046640756784</v>
      </c>
      <c r="R98" s="70">
        <f t="shared" si="41"/>
        <v>1.0762926079223292</v>
      </c>
      <c r="S98" s="71"/>
    </row>
    <row r="99" spans="9:19" ht="15" customHeight="1">
      <c r="P99" s="12">
        <f t="shared" si="40"/>
        <v>0.60000000000000009</v>
      </c>
      <c r="Q99" s="7">
        <f t="shared" si="42"/>
        <v>0.25334710313580006</v>
      </c>
      <c r="R99" s="70">
        <f t="shared" si="41"/>
        <v>1.0178420182914074</v>
      </c>
      <c r="S99" s="71"/>
    </row>
    <row r="100" spans="9:19" ht="15" customHeight="1">
      <c r="P100" s="12">
        <f t="shared" si="40"/>
        <v>0.55000000000000004</v>
      </c>
      <c r="Q100" s="7">
        <f t="shared" si="42"/>
        <v>0.12566134685507416</v>
      </c>
      <c r="R100" s="70">
        <f t="shared" si="41"/>
        <v>0.96431347822952707</v>
      </c>
      <c r="S100" s="71"/>
    </row>
    <row r="101" spans="9:19" ht="15" customHeight="1">
      <c r="P101" s="12">
        <f t="shared" si="40"/>
        <v>0.5</v>
      </c>
      <c r="Q101" s="7">
        <f t="shared" si="42"/>
        <v>0</v>
      </c>
      <c r="R101" s="70">
        <f t="shared" si="41"/>
        <v>0.91438287101081006</v>
      </c>
      <c r="S101" s="71"/>
    </row>
    <row r="102" spans="9:19" ht="15" customHeight="1">
      <c r="P102" s="12">
        <f t="shared" si="40"/>
        <v>0.45000000000000007</v>
      </c>
      <c r="Q102" s="7">
        <f t="shared" si="42"/>
        <v>-0.12566134685507385</v>
      </c>
      <c r="R102" s="70">
        <f t="shared" si="41"/>
        <v>0.86703759065261488</v>
      </c>
      <c r="S102" s="71"/>
    </row>
    <row r="103" spans="9:19" ht="15" customHeight="1">
      <c r="I103"/>
      <c r="J103"/>
      <c r="K103"/>
      <c r="L103"/>
      <c r="P103" s="12">
        <f t="shared" si="40"/>
        <v>0.4</v>
      </c>
      <c r="Q103" s="7">
        <f t="shared" si="42"/>
        <v>-0.25334710313579978</v>
      </c>
      <c r="R103" s="70">
        <f t="shared" si="41"/>
        <v>0.82143988926835432</v>
      </c>
      <c r="S103" s="71"/>
    </row>
    <row r="104" spans="9:19" ht="15" customHeight="1">
      <c r="I104"/>
      <c r="J104"/>
      <c r="K104"/>
      <c r="L104"/>
      <c r="P104" s="12">
        <f t="shared" si="40"/>
        <v>0.35</v>
      </c>
      <c r="Q104" s="7">
        <f t="shared" si="42"/>
        <v>-0.38532046640756784</v>
      </c>
      <c r="R104" s="70">
        <f t="shared" si="41"/>
        <v>0.77682967312389906</v>
      </c>
      <c r="S104" s="71"/>
    </row>
    <row r="105" spans="9:19" ht="15" customHeight="1">
      <c r="I105"/>
      <c r="J105"/>
      <c r="K105"/>
      <c r="L105"/>
      <c r="P105" s="12">
        <f t="shared" si="40"/>
        <v>0.29999999999999993</v>
      </c>
      <c r="Q105" s="7">
        <f t="shared" si="42"/>
        <v>-0.524400512708041</v>
      </c>
      <c r="R105" s="70">
        <f t="shared" si="41"/>
        <v>0.73243649845335213</v>
      </c>
      <c r="S105" s="71"/>
    </row>
    <row r="106" spans="9:19" ht="15" customHeight="1">
      <c r="I106"/>
      <c r="J106"/>
      <c r="K106"/>
      <c r="L106"/>
      <c r="P106" s="12">
        <f t="shared" si="40"/>
        <v>0.24999999999999989</v>
      </c>
      <c r="Q106" s="7">
        <f t="shared" si="42"/>
        <v>-0.67448975019608215</v>
      </c>
      <c r="R106" s="70">
        <f t="shared" si="41"/>
        <v>0.68737102404619965</v>
      </c>
      <c r="S106" s="71"/>
    </row>
    <row r="107" spans="9:19" ht="15" customHeight="1">
      <c r="I107"/>
      <c r="J107"/>
      <c r="K107"/>
      <c r="L107"/>
      <c r="P107" s="12">
        <f t="shared" si="40"/>
        <v>0.19999999999999984</v>
      </c>
      <c r="Q107" s="7">
        <f t="shared" si="42"/>
        <v>-0.84162123357291396</v>
      </c>
      <c r="R107" s="70">
        <f t="shared" si="41"/>
        <v>0.64044371304056447</v>
      </c>
      <c r="S107" s="71"/>
    </row>
    <row r="108" spans="9:19" ht="15" customHeight="1">
      <c r="I108"/>
      <c r="J108"/>
      <c r="K108"/>
      <c r="L108"/>
      <c r="P108" s="12">
        <f t="shared" si="40"/>
        <v>0.1499999999999998</v>
      </c>
      <c r="Q108" s="7">
        <f t="shared" si="42"/>
        <v>-1.0364333894937894</v>
      </c>
      <c r="R108" s="70">
        <f t="shared" si="41"/>
        <v>0.58977235984076204</v>
      </c>
      <c r="S108" s="71"/>
    </row>
    <row r="109" spans="9:19" ht="15" customHeight="1">
      <c r="I109"/>
      <c r="J109"/>
      <c r="K109"/>
      <c r="L109"/>
      <c r="P109" s="12">
        <f t="shared" si="40"/>
        <v>9.9999999999999756E-2</v>
      </c>
      <c r="Q109" s="7">
        <f t="shared" si="42"/>
        <v>-1.2815515655446028</v>
      </c>
      <c r="R109" s="70">
        <f t="shared" si="41"/>
        <v>0.53167247761134862</v>
      </c>
      <c r="S109" s="71"/>
    </row>
    <row r="110" spans="9:19" ht="15" customHeight="1">
      <c r="I110"/>
      <c r="J110"/>
      <c r="K110"/>
      <c r="L110"/>
      <c r="P110" s="12">
        <f t="shared" si="40"/>
        <v>4.9999999999999711E-2</v>
      </c>
      <c r="Q110" s="7">
        <f t="shared" si="42"/>
        <v>-1.6448536269514753</v>
      </c>
      <c r="R110" s="70">
        <f t="shared" si="41"/>
        <v>0.45591907734209519</v>
      </c>
      <c r="S110" s="71"/>
    </row>
    <row r="111" spans="9:19" ht="15" customHeight="1">
      <c r="I111"/>
      <c r="J111"/>
      <c r="K111"/>
      <c r="L111"/>
      <c r="P111" s="67">
        <f t="shared" si="40"/>
        <v>9.9999999999996758E-3</v>
      </c>
      <c r="Q111" s="72">
        <f t="shared" si="42"/>
        <v>-2.3263478740408408</v>
      </c>
      <c r="R111" s="68">
        <f t="shared" si="41"/>
        <v>0.3417148354926301</v>
      </c>
      <c r="S111" s="69"/>
    </row>
    <row r="112" spans="9:19" ht="15" customHeight="1">
      <c r="I112"/>
      <c r="J112"/>
      <c r="K112"/>
      <c r="L112"/>
      <c r="M112"/>
      <c r="N112"/>
      <c r="O112"/>
      <c r="P112"/>
      <c r="Q112"/>
      <c r="R112"/>
    </row>
    <row r="113" spans="3:18" ht="15" customHeight="1">
      <c r="I113"/>
      <c r="J113"/>
      <c r="K113"/>
      <c r="L113"/>
      <c r="M113"/>
      <c r="N113"/>
      <c r="O113"/>
      <c r="P113"/>
      <c r="Q113"/>
      <c r="R113"/>
    </row>
    <row r="114" spans="3:18" ht="15" customHeight="1">
      <c r="I114"/>
      <c r="J114"/>
      <c r="K114"/>
      <c r="L114"/>
      <c r="M114"/>
      <c r="N114"/>
      <c r="O114"/>
      <c r="P114"/>
      <c r="Q114"/>
      <c r="R114"/>
    </row>
    <row r="115" spans="3:18" ht="15" customHeight="1">
      <c r="D115"/>
      <c r="E115"/>
      <c r="I115"/>
      <c r="J115"/>
      <c r="K115"/>
      <c r="L115"/>
      <c r="M115"/>
      <c r="N115"/>
      <c r="O115"/>
      <c r="P115"/>
      <c r="Q115"/>
      <c r="R115"/>
    </row>
    <row r="116" spans="3:18" ht="15" customHeight="1">
      <c r="D116" s="65"/>
      <c r="E116" s="66"/>
      <c r="I116"/>
      <c r="J116"/>
      <c r="K116"/>
      <c r="L116"/>
      <c r="M116"/>
      <c r="N116"/>
      <c r="O116"/>
      <c r="P116"/>
      <c r="Q116"/>
      <c r="R116"/>
    </row>
    <row r="117" spans="3:18" ht="15" customHeight="1"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3:18" ht="15" customHeight="1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3:18" ht="15" customHeight="1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3:18" ht="15" customHeight="1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3:18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3:18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3:18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3:18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3:18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3:18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3:18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3:18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3:18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3:18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3:18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3:18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3:18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3:18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3:18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3:18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3:18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3:18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3:18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3:18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3:18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3:18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3:18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3:18"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3:18"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3:18"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3:18"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3:18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3:18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3:18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3:18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3:18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3:18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3:18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3:18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3:18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3:18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3:18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3:18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3:18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3:18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3:18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3:18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3:18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3:18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3:18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3:18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3:18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3:18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3:18"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3:18"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3:18"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3:18"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3:18"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3:18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3:18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3:18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3:18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</sheetData>
  <sheetProtection password="D8B0" sheet="1" objects="1" scenarios="1"/>
  <protectedRanges>
    <protectedRange sqref="N85:N87 K88" name="Range1"/>
  </protectedRanges>
  <mergeCells count="8">
    <mergeCell ref="P89:P90"/>
    <mergeCell ref="S89:T90"/>
    <mergeCell ref="Q89:Q90"/>
    <mergeCell ref="D82:Q82"/>
    <mergeCell ref="D83:Q83"/>
    <mergeCell ref="D85:E87"/>
    <mergeCell ref="Q85:S87"/>
    <mergeCell ref="R89:R90"/>
  </mergeCells>
  <phoneticPr fontId="4" type="noConversion"/>
  <hyperlinks>
    <hyperlink ref="D85:E87" location="Introduction!A1" display="Left click here to return to first page"/>
  </hyperlinks>
  <pageMargins left="0" right="0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B120"/>
  <sheetViews>
    <sheetView showGridLines="0" showRowColHeaders="0" showZeros="0" showOutlineSymbols="0" topLeftCell="C82" workbookViewId="0">
      <selection activeCell="D85" sqref="D85:E87"/>
    </sheetView>
  </sheetViews>
  <sheetFormatPr defaultRowHeight="12.75"/>
  <cols>
    <col min="1" max="1" width="9.140625" style="4" hidden="1" customWidth="1"/>
    <col min="2" max="2" width="4.85546875" style="4" hidden="1" customWidth="1"/>
    <col min="3" max="3" width="2.85546875" style="4" customWidth="1"/>
    <col min="4" max="4" width="9.42578125" style="4" customWidth="1"/>
    <col min="5" max="5" width="4.5703125" style="4" customWidth="1"/>
    <col min="6" max="6" width="11.85546875" style="5" customWidth="1"/>
    <col min="7" max="7" width="8.85546875" style="4" customWidth="1"/>
    <col min="8" max="8" width="8.5703125" style="4" customWidth="1"/>
    <col min="9" max="9" width="6.85546875" style="4" customWidth="1"/>
    <col min="10" max="10" width="10.140625" style="4" customWidth="1"/>
    <col min="11" max="11" width="7.85546875" style="4" customWidth="1"/>
    <col min="12" max="12" width="13" style="4" customWidth="1"/>
    <col min="13" max="13" width="3.42578125" style="4" customWidth="1"/>
    <col min="14" max="14" width="9" style="4" customWidth="1"/>
    <col min="15" max="15" width="4.7109375" style="4" customWidth="1"/>
    <col min="16" max="16" width="2.5703125" style="4" customWidth="1"/>
    <col min="17" max="17" width="6.7109375" style="4" customWidth="1"/>
    <col min="18" max="18" width="7.7109375" style="4" customWidth="1"/>
    <col min="22" max="22" width="12" customWidth="1"/>
  </cols>
  <sheetData>
    <row r="1" spans="2:28" hidden="1"/>
    <row r="2" spans="2:28" hidden="1">
      <c r="I2" s="4" t="s">
        <v>0</v>
      </c>
      <c r="K2" s="4" t="s">
        <v>1</v>
      </c>
      <c r="N2" s="4" t="s">
        <v>16</v>
      </c>
      <c r="O2" s="4" t="s">
        <v>8</v>
      </c>
    </row>
    <row r="3" spans="2:28" hidden="1">
      <c r="B3" s="5" t="s">
        <v>2</v>
      </c>
      <c r="C3" s="5" t="s">
        <v>11</v>
      </c>
      <c r="D3" s="5"/>
      <c r="E3" s="5" t="s">
        <v>3</v>
      </c>
      <c r="G3" s="5" t="s">
        <v>3</v>
      </c>
      <c r="H3" s="5"/>
      <c r="I3" s="5" t="s">
        <v>4</v>
      </c>
      <c r="J3" s="5" t="s">
        <v>5</v>
      </c>
      <c r="K3" s="4" t="s">
        <v>6</v>
      </c>
      <c r="L3" s="4" t="s">
        <v>7</v>
      </c>
      <c r="N3" s="4" t="s">
        <v>8</v>
      </c>
      <c r="O3" s="4" t="s">
        <v>14</v>
      </c>
      <c r="T3" t="s">
        <v>20</v>
      </c>
      <c r="U3" t="s">
        <v>3</v>
      </c>
      <c r="V3" t="s">
        <v>18</v>
      </c>
      <c r="W3" t="s">
        <v>20</v>
      </c>
      <c r="X3" t="s">
        <v>3</v>
      </c>
      <c r="Y3" t="s">
        <v>18</v>
      </c>
      <c r="AA3" t="s">
        <v>59</v>
      </c>
      <c r="AB3" t="s">
        <v>60</v>
      </c>
    </row>
    <row r="4" spans="2:28" hidden="1">
      <c r="B4" s="5"/>
      <c r="C4" s="5">
        <v>0</v>
      </c>
      <c r="D4" s="5"/>
      <c r="E4" s="5">
        <f>+E5</f>
        <v>1.6448536269514724</v>
      </c>
      <c r="G4" s="5" t="s">
        <v>9</v>
      </c>
      <c r="H4" s="5"/>
      <c r="I4" s="5" t="s">
        <v>10</v>
      </c>
      <c r="J4" s="5" t="s">
        <v>10</v>
      </c>
      <c r="T4">
        <v>0.01</v>
      </c>
      <c r="U4" s="5">
        <f>NORMSINV(1-T4)</f>
        <v>2.3263478740408399</v>
      </c>
      <c r="V4">
        <f>IF($Q$60 &gt; 0,1-NORMSDIST(U4-$Q$60),"")</f>
        <v>4.368958880944529E-2</v>
      </c>
      <c r="W4">
        <f>IF($Q$60 &gt;0, NORMSDIST(X4),"")</f>
        <v>1.6236250679071418E-3</v>
      </c>
      <c r="X4">
        <f>+IF($Q$60 &gt; 0,NORMSINV(Y4)-$Q$60,"")</f>
        <v>-2.9433081551901781</v>
      </c>
      <c r="Y4">
        <v>0.01</v>
      </c>
      <c r="AA4">
        <f>IF($Q$60 &gt; 0,EXP($Q$60*U4-$Q$60^2/2),"")</f>
        <v>3.4727411683429441</v>
      </c>
      <c r="AB4">
        <f>IF($Q$60 &gt; 0,EXP($Q$60*X4-$Q$60^2/2),"")</f>
        <v>0.1344955425753433</v>
      </c>
    </row>
    <row r="5" spans="2:28" hidden="1">
      <c r="B5" s="6">
        <v>0.05</v>
      </c>
      <c r="C5" s="6">
        <v>0.05</v>
      </c>
      <c r="D5" s="5">
        <f>IF(C5&gt;B5-0.01,C5,D4)</f>
        <v>0.05</v>
      </c>
      <c r="E5" s="5">
        <f>NORMSINV(1-B5)</f>
        <v>1.6448536269514724</v>
      </c>
      <c r="G5" s="7">
        <f>-NORMSINV(1-C5)+E5</f>
        <v>0</v>
      </c>
      <c r="H5" s="5"/>
      <c r="I5" s="6">
        <f>+N85-0.0001</f>
        <v>0.19990000000000002</v>
      </c>
      <c r="J5" s="6">
        <f>1-N86</f>
        <v>0.97</v>
      </c>
      <c r="K5" s="4">
        <f>NORMDIST(NORMSINV(I5),G5,1,TRUE)</f>
        <v>0.19990000000000008</v>
      </c>
      <c r="L5" s="4">
        <f>NORMDIST(NORMSINV(J5),G5,1,TRUE)</f>
        <v>0.96999999999999986</v>
      </c>
      <c r="N5" s="8">
        <f>+(1-L5)/(1-J5)/K5*I5</f>
        <v>1.0000000000000036</v>
      </c>
      <c r="O5" s="8">
        <f>+EXP(G5)</f>
        <v>1</v>
      </c>
      <c r="T5" s="14">
        <v>0.05</v>
      </c>
      <c r="U5" s="5">
        <f>NORMSINV(1-T5)</f>
        <v>1.6448536269514724</v>
      </c>
      <c r="V5">
        <f t="shared" ref="V5:V24" si="0">IF($Q$60 &gt; 0,1-NORMSDIST(U5-$Q$60),"")</f>
        <v>0.15200000000000002</v>
      </c>
      <c r="W5">
        <f t="shared" ref="W5:W24" si="1">IF($Q$60 &gt;0, NORMSDIST(X5),"")</f>
        <v>1.1854451595216031E-2</v>
      </c>
      <c r="X5">
        <f t="shared" ref="X5:X24" si="2">+IF($Q$60 &gt; 0,NORMSINV(Y5)-$Q$60,"")</f>
        <v>-2.2618139081008035</v>
      </c>
      <c r="Y5" s="14">
        <v>0.05</v>
      </c>
      <c r="AA5">
        <f t="shared" ref="AA5:AA26" si="3">IF($Q$60 &gt; 0,EXP($Q$60*U5-$Q$60^2/2),"")</f>
        <v>2.2807158474661149</v>
      </c>
      <c r="AB5">
        <f t="shared" ref="AB5:AB26" si="4">IF($Q$60 &gt; 0,EXP($Q$60*X5-$Q$60^2/2),"")</f>
        <v>0.20479017944253455</v>
      </c>
    </row>
    <row r="6" spans="2:28" hidden="1">
      <c r="B6" s="6">
        <f>+B5</f>
        <v>0.05</v>
      </c>
      <c r="C6" s="6">
        <f>+C5+0.05</f>
        <v>0.1</v>
      </c>
      <c r="D6" s="5">
        <f t="shared" ref="D6:D23" si="5">IF(C6&gt;B6-0.01,C6)</f>
        <v>0.1</v>
      </c>
      <c r="E6" s="5">
        <f t="shared" ref="E6:E19" si="6">NORMSINV(1-B6)</f>
        <v>1.6448536269514724</v>
      </c>
      <c r="G6" s="7">
        <f t="shared" ref="G6:G19" si="7">-NORMSINV(1-C6)+E6</f>
        <v>0.36330206140687205</v>
      </c>
      <c r="H6" s="5"/>
      <c r="I6" s="6">
        <f>+I5</f>
        <v>0.19990000000000002</v>
      </c>
      <c r="J6" s="6">
        <f>+J5</f>
        <v>0.97</v>
      </c>
      <c r="K6" s="4">
        <f>NORMDIST(NORMSINV(I6),G6,1,TRUE)</f>
        <v>0.11404750968113997</v>
      </c>
      <c r="L6" s="4">
        <f t="shared" ref="L6:L19" si="8">NORMDIST(NORMSINV(J6),G6,1,TRUE)</f>
        <v>0.93542868693032122</v>
      </c>
      <c r="N6" s="8">
        <f t="shared" ref="N6:N19" si="9">+(1-L6)/(1-J6)/K6*I6</f>
        <v>3.7726398757608712</v>
      </c>
      <c r="O6" s="8">
        <f t="shared" ref="O6:O23" si="10">+EXP(G6)</f>
        <v>1.4380701791437598</v>
      </c>
      <c r="R6" s="73"/>
      <c r="T6" s="14">
        <f>+T5+0.05</f>
        <v>0.1</v>
      </c>
      <c r="U6" s="5">
        <f t="shared" ref="U6:U24" si="11">NORMSINV(1-T6)</f>
        <v>1.2815515655446004</v>
      </c>
      <c r="V6">
        <f t="shared" si="0"/>
        <v>0.25315597265277245</v>
      </c>
      <c r="W6">
        <f t="shared" si="1"/>
        <v>2.8814344348933041E-2</v>
      </c>
      <c r="X6">
        <f t="shared" si="2"/>
        <v>-1.8985118466939297</v>
      </c>
      <c r="Y6" s="14">
        <f>+Y5+0.05</f>
        <v>0.1</v>
      </c>
      <c r="AA6">
        <f t="shared" si="3"/>
        <v>1.8227501279997567</v>
      </c>
      <c r="AB6">
        <f t="shared" si="4"/>
        <v>0.2562436839176459</v>
      </c>
    </row>
    <row r="7" spans="2:28" hidden="1">
      <c r="B7" s="6">
        <f t="shared" ref="B7:B25" si="12">+B6</f>
        <v>0.05</v>
      </c>
      <c r="C7" s="6">
        <f t="shared" ref="C7:C19" si="13">+C6+0.05</f>
        <v>0.15000000000000002</v>
      </c>
      <c r="D7" s="5">
        <f t="shared" si="5"/>
        <v>0.15000000000000002</v>
      </c>
      <c r="E7" s="5">
        <f t="shared" si="6"/>
        <v>1.6448536269514724</v>
      </c>
      <c r="G7" s="7">
        <f t="shared" si="7"/>
        <v>0.60842023745768259</v>
      </c>
      <c r="H7" s="5"/>
      <c r="I7" s="6">
        <f t="shared" ref="I7:J22" si="14">+I6</f>
        <v>0.19990000000000002</v>
      </c>
      <c r="J7" s="6">
        <f t="shared" si="14"/>
        <v>0.97</v>
      </c>
      <c r="K7" s="4">
        <f t="shared" ref="K7:K19" si="15">NORMDIST(NORMSINV(I7),G7,1,TRUE)</f>
        <v>7.347368245645558E-2</v>
      </c>
      <c r="L7" s="4">
        <f t="shared" si="8"/>
        <v>0.8983797545440857</v>
      </c>
      <c r="N7" s="8">
        <f t="shared" si="9"/>
        <v>9.2159470745080938</v>
      </c>
      <c r="O7" s="8">
        <f t="shared" si="10"/>
        <v>1.8375262495233127</v>
      </c>
      <c r="T7" s="14">
        <f t="shared" ref="T7:T23" si="16">+T6+0.05</f>
        <v>0.15000000000000002</v>
      </c>
      <c r="U7" s="5">
        <f t="shared" si="11"/>
        <v>1.0364333894937898</v>
      </c>
      <c r="V7">
        <f t="shared" si="0"/>
        <v>0.33743520198968813</v>
      </c>
      <c r="W7">
        <f t="shared" si="1"/>
        <v>4.9125385086375539E-2</v>
      </c>
      <c r="X7">
        <f t="shared" si="2"/>
        <v>-1.6533936706431196</v>
      </c>
      <c r="Y7" s="14">
        <f t="shared" ref="Y7:Y23" si="17">+Y6+0.05</f>
        <v>0.15000000000000002</v>
      </c>
      <c r="AA7">
        <f t="shared" si="3"/>
        <v>1.5669299217900501</v>
      </c>
      <c r="AB7">
        <f t="shared" si="4"/>
        <v>0.29807855550198614</v>
      </c>
    </row>
    <row r="8" spans="2:28" hidden="1">
      <c r="B8" s="6">
        <f t="shared" si="12"/>
        <v>0.05</v>
      </c>
      <c r="C8" s="6">
        <f t="shared" si="13"/>
        <v>0.2</v>
      </c>
      <c r="D8" s="5">
        <f t="shared" si="5"/>
        <v>0.2</v>
      </c>
      <c r="E8" s="5">
        <f t="shared" si="6"/>
        <v>1.6448536269514724</v>
      </c>
      <c r="G8" s="7">
        <f t="shared" si="7"/>
        <v>0.80323239337855812</v>
      </c>
      <c r="H8" s="5"/>
      <c r="I8" s="6">
        <f t="shared" si="14"/>
        <v>0.19990000000000002</v>
      </c>
      <c r="J8" s="6">
        <f t="shared" si="14"/>
        <v>0.97</v>
      </c>
      <c r="K8" s="4">
        <f t="shared" si="15"/>
        <v>4.9963166117395152E-2</v>
      </c>
      <c r="L8" s="4">
        <f t="shared" si="8"/>
        <v>0.85938519065279362</v>
      </c>
      <c r="N8" s="8">
        <f t="shared" si="9"/>
        <v>18.753081902016181</v>
      </c>
      <c r="O8" s="8">
        <f t="shared" si="10"/>
        <v>2.2327463914249974</v>
      </c>
      <c r="T8" s="14">
        <f t="shared" si="16"/>
        <v>0.2</v>
      </c>
      <c r="U8" s="5">
        <f t="shared" si="11"/>
        <v>0.8416212335729143</v>
      </c>
      <c r="V8">
        <f t="shared" si="0"/>
        <v>0.4111215217621158</v>
      </c>
      <c r="W8">
        <f t="shared" si="1"/>
        <v>7.2340162219722393E-2</v>
      </c>
      <c r="X8">
        <f t="shared" si="2"/>
        <v>-1.4585815147222436</v>
      </c>
      <c r="Y8" s="14">
        <f t="shared" si="17"/>
        <v>0.2</v>
      </c>
      <c r="AA8">
        <f t="shared" si="3"/>
        <v>1.3894762514637113</v>
      </c>
      <c r="AB8">
        <f t="shared" si="4"/>
        <v>0.33614695261469651</v>
      </c>
    </row>
    <row r="9" spans="2:28" hidden="1">
      <c r="B9" s="6">
        <f t="shared" si="12"/>
        <v>0.05</v>
      </c>
      <c r="C9" s="6">
        <f t="shared" si="13"/>
        <v>0.25</v>
      </c>
      <c r="D9" s="5">
        <f t="shared" si="5"/>
        <v>0.25</v>
      </c>
      <c r="E9" s="5">
        <f t="shared" si="6"/>
        <v>1.6448536269514724</v>
      </c>
      <c r="G9" s="7">
        <f t="shared" si="7"/>
        <v>0.97036387675539082</v>
      </c>
      <c r="H9" s="5"/>
      <c r="I9" s="6">
        <f t="shared" si="14"/>
        <v>0.19990000000000002</v>
      </c>
      <c r="J9" s="6">
        <f t="shared" si="14"/>
        <v>0.97</v>
      </c>
      <c r="K9" s="4">
        <f t="shared" si="15"/>
        <v>3.4966656907177041E-2</v>
      </c>
      <c r="L9" s="4">
        <f t="shared" si="8"/>
        <v>0.81870203798177621</v>
      </c>
      <c r="N9" s="8">
        <f t="shared" si="9"/>
        <v>34.548591728066334</v>
      </c>
      <c r="O9" s="8">
        <f t="shared" si="10"/>
        <v>2.6389045206863315</v>
      </c>
      <c r="T9" s="14">
        <f t="shared" si="16"/>
        <v>0.25</v>
      </c>
      <c r="U9" s="5">
        <f t="shared" si="11"/>
        <v>0.67448975019608159</v>
      </c>
      <c r="V9">
        <f t="shared" si="0"/>
        <v>0.47706171603516889</v>
      </c>
      <c r="W9">
        <f t="shared" si="1"/>
        <v>9.8273835725660286E-2</v>
      </c>
      <c r="X9">
        <f t="shared" si="2"/>
        <v>-1.2914500313454111</v>
      </c>
      <c r="Y9" s="14">
        <f t="shared" si="17"/>
        <v>0.25</v>
      </c>
      <c r="AA9">
        <f t="shared" si="3"/>
        <v>1.2533417594235114</v>
      </c>
      <c r="AB9">
        <f t="shared" si="4"/>
        <v>0.37265829862307581</v>
      </c>
    </row>
    <row r="10" spans="2:28" hidden="1">
      <c r="B10" s="6">
        <f t="shared" si="12"/>
        <v>0.05</v>
      </c>
      <c r="C10" s="6">
        <f t="shared" si="13"/>
        <v>0.3</v>
      </c>
      <c r="D10" s="5">
        <f t="shared" si="5"/>
        <v>0.3</v>
      </c>
      <c r="E10" s="5">
        <f t="shared" si="6"/>
        <v>1.6448536269514724</v>
      </c>
      <c r="G10" s="7">
        <f t="shared" si="7"/>
        <v>1.120453114243432</v>
      </c>
      <c r="H10" s="5"/>
      <c r="I10" s="6">
        <f t="shared" si="14"/>
        <v>0.19990000000000002</v>
      </c>
      <c r="J10" s="6">
        <f t="shared" si="14"/>
        <v>0.97</v>
      </c>
      <c r="K10" s="4">
        <f t="shared" si="15"/>
        <v>2.4856128791396426E-2</v>
      </c>
      <c r="L10" s="4">
        <f t="shared" si="8"/>
        <v>0.77647445862791376</v>
      </c>
      <c r="N10" s="8">
        <f t="shared" si="9"/>
        <v>59.921848779265346</v>
      </c>
      <c r="O10" s="8">
        <f t="shared" si="10"/>
        <v>3.0662432470605485</v>
      </c>
      <c r="T10" s="14">
        <f t="shared" si="16"/>
        <v>0.3</v>
      </c>
      <c r="U10" s="5">
        <f t="shared" si="11"/>
        <v>0.52440051270804044</v>
      </c>
      <c r="V10">
        <f t="shared" si="0"/>
        <v>0.5368733466911676</v>
      </c>
      <c r="W10">
        <f t="shared" si="1"/>
        <v>0.1268599064449214</v>
      </c>
      <c r="X10">
        <f t="shared" si="2"/>
        <v>-1.1413607938573702</v>
      </c>
      <c r="Y10" s="14">
        <f t="shared" si="17"/>
        <v>0.3</v>
      </c>
      <c r="AA10">
        <f t="shared" si="3"/>
        <v>1.1424948013067053</v>
      </c>
      <c r="AB10">
        <f t="shared" si="4"/>
        <v>0.40881429580757678</v>
      </c>
    </row>
    <row r="11" spans="2:28" hidden="1">
      <c r="B11" s="6">
        <f t="shared" si="12"/>
        <v>0.05</v>
      </c>
      <c r="C11" s="6">
        <f t="shared" si="13"/>
        <v>0.35</v>
      </c>
      <c r="D11" s="5">
        <f t="shared" si="5"/>
        <v>0.35</v>
      </c>
      <c r="E11" s="5">
        <f t="shared" si="6"/>
        <v>1.6448536269514724</v>
      </c>
      <c r="G11" s="7">
        <f t="shared" si="7"/>
        <v>1.2595331605439049</v>
      </c>
      <c r="H11" s="5"/>
      <c r="I11" s="6">
        <f t="shared" si="14"/>
        <v>0.19990000000000002</v>
      </c>
      <c r="J11" s="6">
        <f t="shared" si="14"/>
        <v>0.97</v>
      </c>
      <c r="K11" s="4">
        <f t="shared" si="15"/>
        <v>1.7798038676154038E-2</v>
      </c>
      <c r="L11" s="4">
        <f t="shared" si="8"/>
        <v>0.73278586347418229</v>
      </c>
      <c r="N11" s="8">
        <f t="shared" si="9"/>
        <v>100.04118405675464</v>
      </c>
      <c r="O11" s="8">
        <f t="shared" si="10"/>
        <v>3.5237760656194941</v>
      </c>
      <c r="T11" s="14">
        <f t="shared" si="16"/>
        <v>0.35</v>
      </c>
      <c r="U11" s="5">
        <f t="shared" si="11"/>
        <v>0.38532046640756756</v>
      </c>
      <c r="V11">
        <f t="shared" si="0"/>
        <v>0.59159110962715689</v>
      </c>
      <c r="W11">
        <f t="shared" si="1"/>
        <v>0.15810400913492106</v>
      </c>
      <c r="X11">
        <f t="shared" si="2"/>
        <v>-1.0022807475568971</v>
      </c>
      <c r="Y11" s="14">
        <f t="shared" si="17"/>
        <v>0.35</v>
      </c>
      <c r="AA11">
        <f t="shared" si="3"/>
        <v>1.0485491314176965</v>
      </c>
      <c r="AB11">
        <f t="shared" si="4"/>
        <v>0.44544236761563677</v>
      </c>
    </row>
    <row r="12" spans="2:28" hidden="1">
      <c r="B12" s="6">
        <f t="shared" si="12"/>
        <v>0.05</v>
      </c>
      <c r="C12" s="6">
        <f t="shared" si="13"/>
        <v>0.39999999999999997</v>
      </c>
      <c r="D12" s="5">
        <f t="shared" si="5"/>
        <v>0.39999999999999997</v>
      </c>
      <c r="E12" s="5">
        <f t="shared" si="6"/>
        <v>1.6448536269514724</v>
      </c>
      <c r="G12" s="7">
        <f t="shared" si="7"/>
        <v>1.3915065238156725</v>
      </c>
      <c r="H12" s="5"/>
      <c r="I12" s="6">
        <f t="shared" si="14"/>
        <v>0.19990000000000002</v>
      </c>
      <c r="J12" s="6">
        <f t="shared" si="14"/>
        <v>0.97</v>
      </c>
      <c r="K12" s="4">
        <f t="shared" si="15"/>
        <v>1.2758489122032257E-2</v>
      </c>
      <c r="L12" s="4">
        <f t="shared" si="8"/>
        <v>0.68768076816060741</v>
      </c>
      <c r="N12" s="8">
        <f t="shared" si="9"/>
        <v>163.11391797659775</v>
      </c>
      <c r="O12" s="8">
        <f t="shared" si="10"/>
        <v>4.0209030785841602</v>
      </c>
      <c r="T12" s="14">
        <f t="shared" si="16"/>
        <v>0.39999999999999997</v>
      </c>
      <c r="U12" s="5">
        <f t="shared" si="11"/>
        <v>0.25334710313579989</v>
      </c>
      <c r="V12">
        <f t="shared" si="0"/>
        <v>0.64192655758423522</v>
      </c>
      <c r="W12">
        <f t="shared" si="1"/>
        <v>0.19206622229059256</v>
      </c>
      <c r="X12">
        <f t="shared" si="2"/>
        <v>-0.87030738428512922</v>
      </c>
      <c r="Y12" s="14">
        <f t="shared" si="17"/>
        <v>0.39999999999999997</v>
      </c>
      <c r="AA12">
        <f t="shared" si="3"/>
        <v>0.96655710835915254</v>
      </c>
      <c r="AB12">
        <f t="shared" si="4"/>
        <v>0.48322877522769758</v>
      </c>
    </row>
    <row r="13" spans="2:28" hidden="1">
      <c r="B13" s="6">
        <f t="shared" si="12"/>
        <v>0.05</v>
      </c>
      <c r="C13" s="6">
        <f t="shared" si="13"/>
        <v>0.44999999999999996</v>
      </c>
      <c r="D13" s="5">
        <f t="shared" si="5"/>
        <v>0.44999999999999996</v>
      </c>
      <c r="E13" s="5">
        <f t="shared" si="6"/>
        <v>1.6448536269514724</v>
      </c>
      <c r="G13" s="7">
        <f t="shared" si="7"/>
        <v>1.5191922800963984</v>
      </c>
      <c r="H13" s="5"/>
      <c r="I13" s="6">
        <f t="shared" si="14"/>
        <v>0.19990000000000002</v>
      </c>
      <c r="J13" s="6">
        <f t="shared" si="14"/>
        <v>0.97</v>
      </c>
      <c r="K13" s="4">
        <f t="shared" si="15"/>
        <v>9.1086700634592788E-3</v>
      </c>
      <c r="L13" s="4">
        <f t="shared" si="8"/>
        <v>0.64117501395360721</v>
      </c>
      <c r="N13" s="8">
        <f t="shared" si="9"/>
        <v>262.49391773970518</v>
      </c>
      <c r="O13" s="8">
        <f t="shared" si="10"/>
        <v>4.5685336089328255</v>
      </c>
      <c r="T13" s="14">
        <f t="shared" si="16"/>
        <v>0.44999999999999996</v>
      </c>
      <c r="U13" s="5">
        <f t="shared" si="11"/>
        <v>0.12566134685507402</v>
      </c>
      <c r="V13">
        <f t="shared" si="0"/>
        <v>0.68839248325030789</v>
      </c>
      <c r="W13">
        <f t="shared" si="1"/>
        <v>0.22885539524785914</v>
      </c>
      <c r="X13">
        <f t="shared" si="2"/>
        <v>-0.74262162800440368</v>
      </c>
      <c r="Y13" s="14">
        <f t="shared" si="17"/>
        <v>0.44999999999999996</v>
      </c>
      <c r="AA13">
        <f t="shared" si="3"/>
        <v>0.89333651340262732</v>
      </c>
      <c r="AB13">
        <f t="shared" si="4"/>
        <v>0.52283568470855757</v>
      </c>
    </row>
    <row r="14" spans="2:28" hidden="1">
      <c r="B14" s="6">
        <f t="shared" si="12"/>
        <v>0.05</v>
      </c>
      <c r="C14" s="6">
        <f t="shared" si="13"/>
        <v>0.49999999999999994</v>
      </c>
      <c r="D14" s="5">
        <f t="shared" si="5"/>
        <v>0.49999999999999994</v>
      </c>
      <c r="E14" s="5">
        <f t="shared" si="6"/>
        <v>1.6448536269514724</v>
      </c>
      <c r="G14" s="7">
        <f t="shared" si="7"/>
        <v>1.6448536269514726</v>
      </c>
      <c r="H14" s="5"/>
      <c r="I14" s="6">
        <f t="shared" si="14"/>
        <v>0.19990000000000002</v>
      </c>
      <c r="J14" s="6">
        <f t="shared" si="14"/>
        <v>0.97</v>
      </c>
      <c r="K14" s="4">
        <f t="shared" si="15"/>
        <v>6.4443104470566226E-3</v>
      </c>
      <c r="L14" s="4">
        <f t="shared" si="8"/>
        <v>0.59326037830549505</v>
      </c>
      <c r="N14" s="8">
        <f t="shared" si="9"/>
        <v>420.56348797756311</v>
      </c>
      <c r="O14" s="8">
        <f t="shared" si="10"/>
        <v>5.1802516022330156</v>
      </c>
      <c r="T14" s="14">
        <f t="shared" si="16"/>
        <v>0.49999999999999994</v>
      </c>
      <c r="U14" s="5">
        <f t="shared" si="11"/>
        <v>-1.392137635291833E-16</v>
      </c>
      <c r="V14">
        <f t="shared" si="0"/>
        <v>0.73136953788724635</v>
      </c>
      <c r="W14">
        <f t="shared" si="1"/>
        <v>0.26863046211275365</v>
      </c>
      <c r="X14">
        <f t="shared" si="2"/>
        <v>-0.61696028114932944</v>
      </c>
      <c r="Y14" s="14">
        <f t="shared" si="17"/>
        <v>0.49999999999999994</v>
      </c>
      <c r="AA14">
        <f t="shared" si="3"/>
        <v>0.82669455410323023</v>
      </c>
      <c r="AB14">
        <f t="shared" si="4"/>
        <v>0.56498280452165028</v>
      </c>
    </row>
    <row r="15" spans="2:28" hidden="1">
      <c r="B15" s="6">
        <f t="shared" si="12"/>
        <v>0.05</v>
      </c>
      <c r="C15" s="6">
        <f t="shared" si="13"/>
        <v>0.54999999999999993</v>
      </c>
      <c r="D15" s="5">
        <f t="shared" si="5"/>
        <v>0.54999999999999993</v>
      </c>
      <c r="E15" s="5">
        <f t="shared" si="6"/>
        <v>1.6448536269514724</v>
      </c>
      <c r="G15" s="7">
        <f t="shared" si="7"/>
        <v>1.7705149738065464</v>
      </c>
      <c r="H15" s="5"/>
      <c r="I15" s="6">
        <f t="shared" si="14"/>
        <v>0.19990000000000002</v>
      </c>
      <c r="J15" s="6">
        <f t="shared" si="14"/>
        <v>0.97</v>
      </c>
      <c r="K15" s="4">
        <f t="shared" si="15"/>
        <v>4.4942206999580847E-3</v>
      </c>
      <c r="L15" s="4">
        <f t="shared" si="8"/>
        <v>0.54390579938673089</v>
      </c>
      <c r="N15" s="8">
        <f t="shared" si="9"/>
        <v>676.22573366607446</v>
      </c>
      <c r="O15" s="8">
        <f t="shared" si="10"/>
        <v>5.8738774756887837</v>
      </c>
      <c r="T15" s="14">
        <f t="shared" si="16"/>
        <v>0.54999999999999993</v>
      </c>
      <c r="U15" s="5">
        <f t="shared" si="11"/>
        <v>-0.12566134685507402</v>
      </c>
      <c r="V15">
        <f t="shared" si="0"/>
        <v>0.77114460475214064</v>
      </c>
      <c r="W15">
        <f t="shared" si="1"/>
        <v>0.31160751674969211</v>
      </c>
      <c r="X15">
        <f t="shared" si="2"/>
        <v>-0.49129893429425553</v>
      </c>
      <c r="Y15" s="14">
        <f t="shared" si="17"/>
        <v>0.54999999999999993</v>
      </c>
      <c r="AA15">
        <f t="shared" si="3"/>
        <v>0.76502401450137436</v>
      </c>
      <c r="AB15">
        <f t="shared" si="4"/>
        <v>0.61052751130229932</v>
      </c>
    </row>
    <row r="16" spans="2:28" hidden="1">
      <c r="B16" s="6">
        <f t="shared" si="12"/>
        <v>0.05</v>
      </c>
      <c r="C16" s="6">
        <f t="shared" si="13"/>
        <v>0.6</v>
      </c>
      <c r="D16" s="5">
        <f t="shared" si="5"/>
        <v>0.6</v>
      </c>
      <c r="E16" s="5">
        <f t="shared" si="6"/>
        <v>1.6448536269514724</v>
      </c>
      <c r="G16" s="7">
        <f t="shared" si="7"/>
        <v>1.8982007300872723</v>
      </c>
      <c r="H16" s="5"/>
      <c r="I16" s="6">
        <f t="shared" si="14"/>
        <v>0.19990000000000002</v>
      </c>
      <c r="J16" s="6">
        <f t="shared" si="14"/>
        <v>0.97</v>
      </c>
      <c r="K16" s="4">
        <f t="shared" si="15"/>
        <v>3.070284629961062E-3</v>
      </c>
      <c r="L16" s="4">
        <f t="shared" si="8"/>
        <v>0.49305591376687985</v>
      </c>
      <c r="N16" s="8">
        <f t="shared" si="9"/>
        <v>1100.2033475887197</v>
      </c>
      <c r="O16" s="8">
        <f t="shared" si="10"/>
        <v>6.6738755294461996</v>
      </c>
      <c r="T16" s="14">
        <f t="shared" si="16"/>
        <v>0.6</v>
      </c>
      <c r="U16" s="5">
        <f t="shared" si="11"/>
        <v>-0.25334710313579989</v>
      </c>
      <c r="V16">
        <f t="shared" si="0"/>
        <v>0.80793377770940744</v>
      </c>
      <c r="W16">
        <f t="shared" si="1"/>
        <v>0.35807344241576466</v>
      </c>
      <c r="X16">
        <f t="shared" si="2"/>
        <v>-0.36361317801352966</v>
      </c>
      <c r="Y16" s="14">
        <f t="shared" si="17"/>
        <v>0.6</v>
      </c>
      <c r="AA16">
        <f t="shared" si="3"/>
        <v>0.70707036332714313</v>
      </c>
      <c r="AB16">
        <f t="shared" si="4"/>
        <v>0.66056821482689965</v>
      </c>
    </row>
    <row r="17" spans="2:28" hidden="1">
      <c r="B17" s="6">
        <f t="shared" si="12"/>
        <v>0.05</v>
      </c>
      <c r="C17" s="6">
        <f t="shared" si="13"/>
        <v>0.65</v>
      </c>
      <c r="D17" s="5">
        <f t="shared" si="5"/>
        <v>0.65</v>
      </c>
      <c r="E17" s="5">
        <f t="shared" si="6"/>
        <v>1.6448536269514724</v>
      </c>
      <c r="G17" s="7">
        <f t="shared" si="7"/>
        <v>2.0301740933590402</v>
      </c>
      <c r="H17" s="5"/>
      <c r="I17" s="6">
        <f t="shared" si="14"/>
        <v>0.19990000000000002</v>
      </c>
      <c r="J17" s="6">
        <f t="shared" si="14"/>
        <v>0.97</v>
      </c>
      <c r="K17" s="4">
        <f t="shared" si="15"/>
        <v>2.0384304257967667E-3</v>
      </c>
      <c r="L17" s="4">
        <f t="shared" si="8"/>
        <v>0.44062670475024013</v>
      </c>
      <c r="N17" s="8">
        <f t="shared" si="9"/>
        <v>1828.5101501844658</v>
      </c>
      <c r="O17" s="8">
        <f t="shared" si="10"/>
        <v>7.6154120360426525</v>
      </c>
      <c r="T17" s="14">
        <f t="shared" si="16"/>
        <v>0.65</v>
      </c>
      <c r="U17" s="5">
        <f t="shared" si="11"/>
        <v>-0.38532046640756779</v>
      </c>
      <c r="V17">
        <f t="shared" si="0"/>
        <v>0.84189599086507894</v>
      </c>
      <c r="W17">
        <f t="shared" si="1"/>
        <v>0.40840889037284311</v>
      </c>
      <c r="X17">
        <f t="shared" si="2"/>
        <v>-0.23163981474176176</v>
      </c>
      <c r="Y17" s="14">
        <f t="shared" si="17"/>
        <v>0.65</v>
      </c>
      <c r="AA17">
        <f t="shared" si="3"/>
        <v>0.65178050823418432</v>
      </c>
      <c r="AB17">
        <f t="shared" si="4"/>
        <v>0.71660352182885612</v>
      </c>
    </row>
    <row r="18" spans="2:28" hidden="1">
      <c r="B18" s="6">
        <f t="shared" si="12"/>
        <v>0.05</v>
      </c>
      <c r="C18" s="6">
        <f t="shared" si="13"/>
        <v>0.70000000000000007</v>
      </c>
      <c r="D18" s="5">
        <f t="shared" si="5"/>
        <v>0.70000000000000007</v>
      </c>
      <c r="E18" s="5">
        <f t="shared" si="6"/>
        <v>1.6448536269514724</v>
      </c>
      <c r="G18" s="7">
        <f t="shared" si="7"/>
        <v>2.1692541396595137</v>
      </c>
      <c r="H18" s="5"/>
      <c r="I18" s="6">
        <f t="shared" si="14"/>
        <v>0.19990000000000002</v>
      </c>
      <c r="J18" s="6">
        <f t="shared" si="14"/>
        <v>0.97</v>
      </c>
      <c r="K18" s="4">
        <f t="shared" si="15"/>
        <v>1.3009472086658036E-3</v>
      </c>
      <c r="L18" s="4">
        <f t="shared" si="8"/>
        <v>0.38649711916626828</v>
      </c>
      <c r="N18" s="8">
        <f t="shared" si="9"/>
        <v>3142.3059819221126</v>
      </c>
      <c r="O18" s="8">
        <f t="shared" si="10"/>
        <v>8.7517540195687644</v>
      </c>
      <c r="T18" s="14">
        <f t="shared" si="16"/>
        <v>0.70000000000000007</v>
      </c>
      <c r="U18" s="5">
        <f t="shared" si="11"/>
        <v>-0.52440051270804111</v>
      </c>
      <c r="V18">
        <f t="shared" si="0"/>
        <v>0.8731400935550786</v>
      </c>
      <c r="W18">
        <f t="shared" si="1"/>
        <v>0.46312665330883263</v>
      </c>
      <c r="X18">
        <f t="shared" si="2"/>
        <v>-9.2559768441288437E-2</v>
      </c>
      <c r="Y18" s="14">
        <f t="shared" si="17"/>
        <v>0.70000000000000007</v>
      </c>
      <c r="AA18">
        <f t="shared" si="3"/>
        <v>0.59818555410693008</v>
      </c>
      <c r="AB18">
        <f t="shared" si="4"/>
        <v>0.78080823659697796</v>
      </c>
    </row>
    <row r="19" spans="2:28" hidden="1">
      <c r="B19" s="6">
        <f t="shared" si="12"/>
        <v>0.05</v>
      </c>
      <c r="C19" s="6">
        <f t="shared" si="13"/>
        <v>0.75000000000000011</v>
      </c>
      <c r="D19" s="5">
        <f t="shared" si="5"/>
        <v>0.75000000000000011</v>
      </c>
      <c r="E19" s="5">
        <f t="shared" si="6"/>
        <v>1.6448536269514724</v>
      </c>
      <c r="G19" s="7">
        <f t="shared" si="7"/>
        <v>2.3193433771475545</v>
      </c>
      <c r="H19" s="5"/>
      <c r="I19" s="6">
        <f t="shared" si="14"/>
        <v>0.19990000000000002</v>
      </c>
      <c r="J19" s="6">
        <f t="shared" si="14"/>
        <v>0.97</v>
      </c>
      <c r="K19" s="4">
        <f t="shared" si="15"/>
        <v>7.8527426694829927E-4</v>
      </c>
      <c r="L19" s="4">
        <f t="shared" si="8"/>
        <v>0.33049390030492221</v>
      </c>
      <c r="N19" s="8">
        <f t="shared" si="9"/>
        <v>5680.9989818014892</v>
      </c>
      <c r="O19" s="8">
        <f t="shared" si="10"/>
        <v>10.168994918944026</v>
      </c>
      <c r="T19" s="14">
        <f t="shared" si="16"/>
        <v>0.75000000000000011</v>
      </c>
      <c r="U19" s="5">
        <f t="shared" si="11"/>
        <v>-0.67448975019608204</v>
      </c>
      <c r="V19">
        <f t="shared" si="0"/>
        <v>0.90172616427433983</v>
      </c>
      <c r="W19">
        <f t="shared" si="1"/>
        <v>0.52293828396483122</v>
      </c>
      <c r="X19">
        <f t="shared" si="2"/>
        <v>5.7529469046752491E-2</v>
      </c>
      <c r="Y19" s="14">
        <f t="shared" si="17"/>
        <v>0.75000000000000011</v>
      </c>
      <c r="AA19">
        <f t="shared" si="3"/>
        <v>0.54528134935700789</v>
      </c>
      <c r="AB19">
        <f t="shared" si="4"/>
        <v>0.85656369544049504</v>
      </c>
    </row>
    <row r="20" spans="2:28" hidden="1">
      <c r="B20" s="6">
        <f t="shared" si="12"/>
        <v>0.05</v>
      </c>
      <c r="C20" s="6">
        <f>+C19+0.05</f>
        <v>0.80000000000000016</v>
      </c>
      <c r="D20" s="5">
        <f t="shared" si="5"/>
        <v>0.80000000000000016</v>
      </c>
      <c r="E20" s="5">
        <f>NORMSINV(1-B20)</f>
        <v>1.6448536269514724</v>
      </c>
      <c r="G20" s="7">
        <f>-NORMSINV(1-C20)+E20</f>
        <v>2.4864748605243872</v>
      </c>
      <c r="H20" s="5"/>
      <c r="I20" s="6">
        <f t="shared" si="14"/>
        <v>0.19990000000000002</v>
      </c>
      <c r="J20" s="6">
        <f t="shared" si="14"/>
        <v>0.97</v>
      </c>
      <c r="K20" s="4">
        <f>NORMDIST(NORMSINV(I20),G20,1,TRUE)</f>
        <v>4.3664816255262195E-4</v>
      </c>
      <c r="L20" s="4">
        <f>NORMDIST(NORMSINV(J20),G20,1,TRUE)</f>
        <v>0.27236321778895189</v>
      </c>
      <c r="N20" s="8">
        <f>+(1-L20)/(1-J20)/K20*I20</f>
        <v>11103.874563727204</v>
      </c>
      <c r="O20" s="8">
        <f t="shared" si="10"/>
        <v>12.018833292262503</v>
      </c>
      <c r="T20" s="14">
        <f t="shared" si="16"/>
        <v>0.80000000000000016</v>
      </c>
      <c r="U20" s="5">
        <f t="shared" si="11"/>
        <v>-0.84162123357291496</v>
      </c>
      <c r="V20">
        <f t="shared" si="0"/>
        <v>0.92765983778027761</v>
      </c>
      <c r="W20">
        <f t="shared" si="1"/>
        <v>0.58887847823788431</v>
      </c>
      <c r="X20">
        <f t="shared" si="2"/>
        <v>0.22466095242358541</v>
      </c>
      <c r="Y20" s="14">
        <f t="shared" si="17"/>
        <v>0.80000000000000016</v>
      </c>
      <c r="AA20">
        <f t="shared" si="3"/>
        <v>0.4918571908400749</v>
      </c>
      <c r="AB20">
        <f t="shared" si="4"/>
        <v>0.94960125897983128</v>
      </c>
    </row>
    <row r="21" spans="2:28" hidden="1">
      <c r="B21" s="6">
        <f t="shared" si="12"/>
        <v>0.05</v>
      </c>
      <c r="C21" s="6">
        <f>+C20+0.05</f>
        <v>0.8500000000000002</v>
      </c>
      <c r="D21" s="5">
        <f t="shared" si="5"/>
        <v>0.8500000000000002</v>
      </c>
      <c r="E21" s="5">
        <f>NORMSINV(1-B21)</f>
        <v>1.6448536269514724</v>
      </c>
      <c r="G21" s="7">
        <f>-NORMSINV(1-C21)+E21</f>
        <v>2.6812870164452636</v>
      </c>
      <c r="H21" s="5"/>
      <c r="I21" s="6">
        <f t="shared" si="14"/>
        <v>0.19990000000000002</v>
      </c>
      <c r="J21" s="6">
        <f t="shared" si="14"/>
        <v>0.97</v>
      </c>
      <c r="K21" s="4">
        <f>NORMDIST(NORMSINV(I21),G21,1,TRUE)</f>
        <v>2.1313206391204709E-4</v>
      </c>
      <c r="L21" s="4">
        <f>NORMDIST(NORMSINV(J21),G21,1,TRUE)</f>
        <v>0.21171249058101094</v>
      </c>
      <c r="N21" s="8">
        <f>+(1-L21)/(1-J21)/K21*I21</f>
        <v>24644.918935939419</v>
      </c>
      <c r="O21" s="8">
        <f>+EXP(G21)</f>
        <v>14.603876635449009</v>
      </c>
      <c r="T21" s="14">
        <f t="shared" si="16"/>
        <v>0.8500000000000002</v>
      </c>
      <c r="U21" s="5">
        <f t="shared" si="11"/>
        <v>-1.0364333894937912</v>
      </c>
      <c r="V21">
        <f t="shared" si="0"/>
        <v>0.95087461491362468</v>
      </c>
      <c r="W21">
        <f t="shared" si="1"/>
        <v>0.66256479801031221</v>
      </c>
      <c r="X21">
        <f t="shared" si="2"/>
        <v>0.41947310834446139</v>
      </c>
      <c r="Y21" s="14">
        <f t="shared" si="17"/>
        <v>0.8500000000000002</v>
      </c>
      <c r="AA21">
        <f t="shared" si="3"/>
        <v>0.43615472286290857</v>
      </c>
      <c r="AB21">
        <f t="shared" si="4"/>
        <v>1.0708773359008801</v>
      </c>
    </row>
    <row r="22" spans="2:28" hidden="1">
      <c r="B22" s="6">
        <f t="shared" si="12"/>
        <v>0.05</v>
      </c>
      <c r="C22" s="6">
        <f>+C21+0.05</f>
        <v>0.90000000000000024</v>
      </c>
      <c r="D22" s="5">
        <f t="shared" si="5"/>
        <v>0.90000000000000024</v>
      </c>
      <c r="E22" s="5">
        <f>NORMSINV(1-B22)</f>
        <v>1.6448536269514724</v>
      </c>
      <c r="G22" s="7">
        <f>-NORMSINV(1-C22)+E22</f>
        <v>2.926405192496075</v>
      </c>
      <c r="H22" s="5"/>
      <c r="I22" s="6">
        <f t="shared" si="14"/>
        <v>0.19990000000000002</v>
      </c>
      <c r="J22" s="6">
        <f t="shared" si="14"/>
        <v>0.97</v>
      </c>
      <c r="K22" s="4">
        <f>NORMDIST(NORMSINV(I22),G22,1,TRUE)</f>
        <v>8.2154012420065925E-5</v>
      </c>
      <c r="L22" s="4">
        <f>NORMDIST(NORMSINV(J22),G22,1,TRUE)</f>
        <v>0.14787019932078693</v>
      </c>
      <c r="N22" s="8">
        <f>+(1-L22)/(1-J22)/K22*I22</f>
        <v>69114.395486368725</v>
      </c>
      <c r="O22" s="8">
        <f t="shared" si="10"/>
        <v>18.660429130388884</v>
      </c>
      <c r="T22" s="14">
        <f t="shared" si="16"/>
        <v>0.90000000000000024</v>
      </c>
      <c r="U22" s="5">
        <f t="shared" si="11"/>
        <v>-1.2815515655446026</v>
      </c>
      <c r="V22">
        <f t="shared" si="0"/>
        <v>0.97118565565106707</v>
      </c>
      <c r="W22">
        <f t="shared" si="1"/>
        <v>0.74684402734722799</v>
      </c>
      <c r="X22">
        <f t="shared" si="2"/>
        <v>0.66459128439527237</v>
      </c>
      <c r="Y22" s="14">
        <f t="shared" si="17"/>
        <v>0.90000000000000024</v>
      </c>
      <c r="AA22">
        <f t="shared" si="3"/>
        <v>0.37494107134361376</v>
      </c>
      <c r="AB22">
        <f t="shared" si="4"/>
        <v>1.2457109752907667</v>
      </c>
    </row>
    <row r="23" spans="2:28" hidden="1">
      <c r="B23" s="6">
        <f t="shared" si="12"/>
        <v>0.05</v>
      </c>
      <c r="C23" s="6">
        <f>+C22+0.05</f>
        <v>0.95000000000000029</v>
      </c>
      <c r="D23" s="5">
        <f t="shared" si="5"/>
        <v>0.95000000000000029</v>
      </c>
      <c r="E23" s="5">
        <f>NORMSINV(1-B23)</f>
        <v>1.6448536269514724</v>
      </c>
      <c r="G23" s="7">
        <f>-NORMSINV(1-C23)+E23</f>
        <v>3.2897072539029484</v>
      </c>
      <c r="H23" s="5"/>
      <c r="I23" s="6">
        <f>+I22</f>
        <v>0.19990000000000002</v>
      </c>
      <c r="J23" s="6">
        <f>+J22</f>
        <v>0.97</v>
      </c>
      <c r="K23" s="4">
        <f>NORMDIST(NORMSINV(I23),G23,1,TRUE)</f>
        <v>1.8005627241857169E-5</v>
      </c>
      <c r="L23" s="4">
        <f>NORMDIST(NORMSINV(J23),G23,1,TRUE)</f>
        <v>7.9430352038356467E-2</v>
      </c>
      <c r="N23" s="8">
        <f>+(1-L23)/(1-J23)/K23*I23</f>
        <v>340674.74231933814</v>
      </c>
      <c r="O23" s="8">
        <f t="shared" si="10"/>
        <v>26.835006662437809</v>
      </c>
      <c r="T23" s="14">
        <f t="shared" si="16"/>
        <v>0.95000000000000029</v>
      </c>
      <c r="U23" s="5">
        <f t="shared" si="11"/>
        <v>-1.644853626951476</v>
      </c>
      <c r="V23">
        <f t="shared" si="0"/>
        <v>0.98814554840478386</v>
      </c>
      <c r="W23">
        <f t="shared" si="1"/>
        <v>0.84800000000000075</v>
      </c>
      <c r="X23">
        <f t="shared" si="2"/>
        <v>1.0278933458021462</v>
      </c>
      <c r="Y23" s="14">
        <f t="shared" si="17"/>
        <v>0.95000000000000029</v>
      </c>
      <c r="AA23">
        <f t="shared" si="3"/>
        <v>0.29965323674285177</v>
      </c>
      <c r="AB23">
        <f t="shared" si="4"/>
        <v>1.558695686844304</v>
      </c>
    </row>
    <row r="24" spans="2:28" hidden="1">
      <c r="B24" s="6">
        <f t="shared" si="12"/>
        <v>0.05</v>
      </c>
      <c r="C24" s="6">
        <f>+C23+0.05</f>
        <v>1.0000000000000002</v>
      </c>
      <c r="D24" s="5"/>
      <c r="E24" s="5"/>
      <c r="G24" s="7"/>
      <c r="H24" s="5"/>
      <c r="I24" s="6">
        <f>+I23</f>
        <v>0.19990000000000002</v>
      </c>
      <c r="J24" s="6">
        <f>+J23</f>
        <v>0.97</v>
      </c>
      <c r="N24" s="8"/>
      <c r="O24" s="8"/>
      <c r="T24" s="14">
        <v>0.99</v>
      </c>
      <c r="U24" s="5">
        <f t="shared" si="11"/>
        <v>-2.3263478740408488</v>
      </c>
      <c r="V24">
        <f t="shared" si="0"/>
        <v>0.99837637493209286</v>
      </c>
      <c r="W24">
        <f t="shared" si="1"/>
        <v>0.95631041119055471</v>
      </c>
      <c r="X24">
        <f t="shared" si="2"/>
        <v>1.7093875928915105</v>
      </c>
      <c r="Y24" s="14">
        <v>0.99</v>
      </c>
      <c r="AA24">
        <f t="shared" si="3"/>
        <v>0.19679666656816766</v>
      </c>
      <c r="AB24">
        <f t="shared" si="4"/>
        <v>2.37335426359079</v>
      </c>
    </row>
    <row r="25" spans="2:28" hidden="1">
      <c r="B25" s="6">
        <f t="shared" si="12"/>
        <v>0.05</v>
      </c>
      <c r="C25" s="6"/>
      <c r="D25" s="5"/>
      <c r="E25" s="5"/>
      <c r="G25" s="7"/>
      <c r="H25" s="5"/>
      <c r="I25" s="6"/>
      <c r="J25" s="6"/>
      <c r="N25" s="8"/>
      <c r="O25" s="8"/>
      <c r="T25" s="14"/>
      <c r="U25" s="5"/>
    </row>
    <row r="26" spans="2:28" hidden="1">
      <c r="B26" s="6">
        <f t="shared" ref="B26:B31" si="18">+B23</f>
        <v>0.05</v>
      </c>
      <c r="C26" s="20">
        <f>+MAX(C$60:C$78)</f>
        <v>0.15000000000000002</v>
      </c>
      <c r="D26" s="5"/>
      <c r="E26" s="5">
        <f t="shared" ref="E26:E43" si="19">NORMSINV(1-B26)</f>
        <v>1.6448536269514724</v>
      </c>
      <c r="G26" s="7">
        <f t="shared" ref="G26:G43" si="20">-NORMSINV(1-C26)+E26</f>
        <v>0.60842023745768259</v>
      </c>
      <c r="H26" s="5"/>
      <c r="I26" s="6">
        <f>+I23</f>
        <v>0.19990000000000002</v>
      </c>
      <c r="J26" s="6">
        <f>+J23</f>
        <v>0.97</v>
      </c>
      <c r="K26" s="4">
        <f t="shared" ref="K26:K43" si="21">NORMDIST(NORMSINV(I26),G26,1,TRUE)</f>
        <v>7.347368245645558E-2</v>
      </c>
      <c r="L26" s="4">
        <f t="shared" ref="L26:L43" si="22">NORMDIST(NORMSINV(J26),G26,1,TRUE)</f>
        <v>0.8983797545440857</v>
      </c>
      <c r="N26" s="8">
        <f t="shared" ref="N26:N43" si="23">+(1-L26)/(1-J26)/K26*I26</f>
        <v>9.2159470745080938</v>
      </c>
      <c r="O26" s="8"/>
      <c r="P26" s="4">
        <f t="shared" ref="P26:P31" si="24">+ABS(N26-$N$87)</f>
        <v>0.28405292549190619</v>
      </c>
      <c r="Q26" s="4">
        <f t="shared" ref="Q26:Q31" si="25">+IF(P26=MIN(P$26:P$31),C26,-9)</f>
        <v>0.15000000000000002</v>
      </c>
      <c r="T26" s="14">
        <f>+I101</f>
        <v>0.1</v>
      </c>
      <c r="U26" s="5">
        <f>NORMSINV(1-T26)</f>
        <v>1.2815515655446004</v>
      </c>
      <c r="V26" s="28">
        <f>IF(T26&gt;0,1-NORMSDIST(U26-$Q$60),0)</f>
        <v>0.25315597265277245</v>
      </c>
      <c r="W26">
        <f>IF(Y26&gt;0,NORMSDIST(X26),0)</f>
        <v>2.8814344348933041E-2</v>
      </c>
      <c r="X26">
        <f>+NORMSINV(Y26)-$Q$60</f>
        <v>-1.8985118466939297</v>
      </c>
      <c r="Y26" s="14">
        <f>+I101</f>
        <v>0.1</v>
      </c>
      <c r="AA26">
        <f t="shared" si="3"/>
        <v>1.8227501279997567</v>
      </c>
      <c r="AB26">
        <f t="shared" si="4"/>
        <v>0.2562436839176459</v>
      </c>
    </row>
    <row r="27" spans="2:28" hidden="1">
      <c r="B27" s="6">
        <f t="shared" si="18"/>
        <v>0.05</v>
      </c>
      <c r="C27" s="20">
        <f>+MAX(C$60:C$78) + 1%</f>
        <v>0.16000000000000003</v>
      </c>
      <c r="D27" s="5"/>
      <c r="E27" s="5">
        <f>NORMSINV(1-B27)</f>
        <v>1.6448536269514724</v>
      </c>
      <c r="G27" s="7">
        <f>-NORMSINV(1-C27)+E27</f>
        <v>0.6503957437417196</v>
      </c>
      <c r="H27" s="5"/>
      <c r="I27" s="6">
        <f t="shared" ref="I27:J31" si="26">+I26</f>
        <v>0.19990000000000002</v>
      </c>
      <c r="J27" s="6">
        <f t="shared" si="26"/>
        <v>0.97</v>
      </c>
      <c r="K27" s="4">
        <f>NORMDIST(NORMSINV(I27),G27,1,TRUE)</f>
        <v>6.780053441371614E-2</v>
      </c>
      <c r="L27" s="4">
        <f>NORMDIST(NORMSINV(J27),G27,1,TRUE)</f>
        <v>0.89072592365665026</v>
      </c>
      <c r="N27" s="8">
        <f>+(1-L27)/(1-J27)/K27*I27</f>
        <v>10.739289913628639</v>
      </c>
      <c r="O27" s="8"/>
      <c r="P27" s="4">
        <f t="shared" si="24"/>
        <v>1.2392899136286388</v>
      </c>
      <c r="Q27" s="4">
        <f t="shared" si="25"/>
        <v>-9</v>
      </c>
      <c r="T27">
        <f>IF(T26&gt;0,ROUND(T26*100,1),"__")</f>
        <v>10</v>
      </c>
      <c r="V27" s="28">
        <f>IF(T26&gt;0,IF(Q$60&gt;0,ROUND(V26*100,0),"__"),"__")</f>
        <v>25</v>
      </c>
      <c r="W27">
        <f>IF(Y26&gt;0,IF($Q$60&gt; 0,ROUND(W26*100,1),"__"),"__")</f>
        <v>2.9</v>
      </c>
      <c r="Y27">
        <f>IF(Y26&gt;0,ROUND(Y26*100,0),"__")</f>
        <v>10</v>
      </c>
    </row>
    <row r="28" spans="2:28" hidden="1">
      <c r="B28" s="6">
        <f t="shared" si="18"/>
        <v>0.05</v>
      </c>
      <c r="C28" s="20">
        <f>+MAX(C$60:C$78) + 2%</f>
        <v>0.17</v>
      </c>
      <c r="D28" s="5"/>
      <c r="E28" s="5">
        <f>NORMSINV(1-B28)</f>
        <v>1.6448536269514724</v>
      </c>
      <c r="G28" s="7">
        <f>-NORMSINV(1-C28)+E28</f>
        <v>0.69068837380527781</v>
      </c>
      <c r="H28" s="5"/>
      <c r="I28" s="6">
        <f t="shared" si="26"/>
        <v>0.19990000000000002</v>
      </c>
      <c r="J28" s="6">
        <f t="shared" si="26"/>
        <v>0.97</v>
      </c>
      <c r="K28" s="4">
        <f>NORMDIST(NORMSINV(I28),G28,1,TRUE)</f>
        <v>6.2678980195340461E-2</v>
      </c>
      <c r="L28" s="4">
        <f>NORMDIST(NORMSINV(J28),G28,1,TRUE)</f>
        <v>0.88299748338816464</v>
      </c>
      <c r="N28" s="8">
        <f>+(1-L28)/(1-J28)/K28*I28</f>
        <v>12.438408643436835</v>
      </c>
      <c r="O28" s="8"/>
      <c r="P28" s="4">
        <f t="shared" si="24"/>
        <v>2.9384086434368353</v>
      </c>
      <c r="Q28" s="4">
        <f t="shared" si="25"/>
        <v>-9</v>
      </c>
      <c r="T28" s="14"/>
    </row>
    <row r="29" spans="2:28" hidden="1">
      <c r="B29" s="6">
        <f t="shared" si="18"/>
        <v>0.05</v>
      </c>
      <c r="C29" s="20">
        <f>+MAX(C$60:C$78) + 3%</f>
        <v>0.18000000000000002</v>
      </c>
      <c r="D29" s="5"/>
      <c r="E29" s="5">
        <f>NORMSINV(1-B29)</f>
        <v>1.6448536269514724</v>
      </c>
      <c r="G29" s="7">
        <f>-NORMSINV(1-C29)+E29</f>
        <v>0.72948853910865874</v>
      </c>
      <c r="H29" s="5"/>
      <c r="I29" s="6">
        <f t="shared" si="26"/>
        <v>0.19990000000000002</v>
      </c>
      <c r="J29" s="6">
        <f t="shared" si="26"/>
        <v>0.97</v>
      </c>
      <c r="K29" s="4">
        <f>NORMDIST(NORMSINV(I29),G29,1,TRUE)</f>
        <v>5.8037104845989784E-2</v>
      </c>
      <c r="L29" s="4">
        <f>NORMDIST(NORMSINV(J29),G29,1,TRUE)</f>
        <v>0.87519662375431362</v>
      </c>
      <c r="N29" s="8">
        <f>+(1-L29)/(1-J29)/K29*I29</f>
        <v>14.328876315543589</v>
      </c>
      <c r="O29" s="8"/>
      <c r="P29" s="4">
        <f t="shared" si="24"/>
        <v>4.8288763155435888</v>
      </c>
      <c r="Q29" s="4">
        <f t="shared" si="25"/>
        <v>-9</v>
      </c>
      <c r="T29" s="14"/>
    </row>
    <row r="30" spans="2:28" hidden="1">
      <c r="B30" s="6">
        <f t="shared" si="18"/>
        <v>0.05</v>
      </c>
      <c r="C30" s="20">
        <f>+MAX(C$60:C$78) + 4%</f>
        <v>0.19000000000000003</v>
      </c>
      <c r="D30" s="5"/>
      <c r="E30" s="5">
        <f>NORMSINV(1-B30)</f>
        <v>1.6448536269514724</v>
      </c>
      <c r="G30" s="7">
        <f>-NORMSINV(1-C30)+E30</f>
        <v>0.76695733190024429</v>
      </c>
      <c r="H30" s="5"/>
      <c r="I30" s="6">
        <f t="shared" si="26"/>
        <v>0.19990000000000002</v>
      </c>
      <c r="J30" s="6">
        <f t="shared" si="26"/>
        <v>0.97</v>
      </c>
      <c r="K30" s="4">
        <f>NORMDIST(NORMSINV(I30),G30,1,TRUE)</f>
        <v>5.3815189038369793E-2</v>
      </c>
      <c r="L30" s="4">
        <f>NORMDIST(NORMSINV(J30),G30,1,TRUE)</f>
        <v>0.86732528441059942</v>
      </c>
      <c r="N30" s="8">
        <f>+(1-L30)/(1-J30)/K30*I30</f>
        <v>16.427627044978827</v>
      </c>
      <c r="O30" s="8"/>
      <c r="P30" s="4">
        <f t="shared" si="24"/>
        <v>6.9276270449788271</v>
      </c>
      <c r="Q30" s="4">
        <f t="shared" si="25"/>
        <v>-9</v>
      </c>
      <c r="T30" s="14"/>
    </row>
    <row r="31" spans="2:28" hidden="1">
      <c r="B31" s="6">
        <f t="shared" si="18"/>
        <v>0.05</v>
      </c>
      <c r="C31" s="20">
        <f>+MAX(C$60:C$78) + 5%</f>
        <v>0.2</v>
      </c>
      <c r="D31" s="5"/>
      <c r="E31" s="5">
        <f>NORMSINV(1-B31)</f>
        <v>1.6448536269514724</v>
      </c>
      <c r="G31" s="7">
        <f>-NORMSINV(1-C31)+E31</f>
        <v>0.80323239337855812</v>
      </c>
      <c r="H31" s="5"/>
      <c r="I31" s="6">
        <f t="shared" si="26"/>
        <v>0.19990000000000002</v>
      </c>
      <c r="J31" s="6">
        <f t="shared" si="26"/>
        <v>0.97</v>
      </c>
      <c r="K31" s="4">
        <f>NORMDIST(NORMSINV(I31),G31,1,TRUE)</f>
        <v>4.9963166117395152E-2</v>
      </c>
      <c r="L31" s="4">
        <f>NORMDIST(NORMSINV(J31),G31,1,TRUE)</f>
        <v>0.85938519065279362</v>
      </c>
      <c r="N31" s="8">
        <f>+(1-L31)/(1-J31)/K31*I31</f>
        <v>18.753081902016181</v>
      </c>
      <c r="O31" s="8"/>
      <c r="P31" s="4">
        <f t="shared" si="24"/>
        <v>9.2530819020161807</v>
      </c>
      <c r="Q31" s="4">
        <f t="shared" si="25"/>
        <v>-9</v>
      </c>
      <c r="T31" s="14"/>
    </row>
    <row r="32" spans="2:28" hidden="1">
      <c r="B32" s="6"/>
      <c r="C32" s="20"/>
      <c r="D32" s="5"/>
      <c r="E32" s="5"/>
      <c r="G32" s="7"/>
      <c r="H32" s="5"/>
      <c r="I32" s="6"/>
      <c r="J32" s="6"/>
      <c r="N32" s="8"/>
      <c r="O32" s="8"/>
      <c r="T32" s="14"/>
    </row>
    <row r="33" spans="2:22" hidden="1">
      <c r="B33" s="6">
        <f>B26</f>
        <v>0.05</v>
      </c>
      <c r="C33" s="20">
        <f>+MAX(Q$26:Q$31)-0.5%</f>
        <v>0.14500000000000002</v>
      </c>
      <c r="D33" s="5"/>
      <c r="E33" s="5">
        <f>NORMSINV(1-B33)</f>
        <v>1.6448536269514724</v>
      </c>
      <c r="G33" s="7">
        <f>-NORMSINV(1-C33)+E33</f>
        <v>0.58673200926669589</v>
      </c>
      <c r="H33" s="5"/>
      <c r="I33" s="6">
        <f>+I30</f>
        <v>0.19990000000000002</v>
      </c>
      <c r="J33" s="6">
        <f>+J30</f>
        <v>0.97</v>
      </c>
      <c r="K33" s="4">
        <f>NORMDIST(NORMSINV(I33),G33,1,TRUE)</f>
        <v>7.6543731049934283E-2</v>
      </c>
      <c r="L33" s="4">
        <f>NORMDIST(NORMSINV(J33),G33,1,TRUE)</f>
        <v>0.90217792775433481</v>
      </c>
      <c r="N33" s="8">
        <f>+(1-L33)/(1-J33)/K33*I33</f>
        <v>8.5156689619043799</v>
      </c>
      <c r="O33" s="8"/>
      <c r="P33" s="4">
        <f t="shared" ref="P33:P43" si="27">+ABS(N33-$N$87)</f>
        <v>0.98433103809562006</v>
      </c>
      <c r="Q33" s="4">
        <f>+IF(P33=MIN(P$33:P$43),C33,-9)</f>
        <v>-9</v>
      </c>
      <c r="T33" s="14"/>
      <c r="V33" s="28"/>
    </row>
    <row r="34" spans="2:22" hidden="1">
      <c r="B34" s="6">
        <f>+B25</f>
        <v>0.05</v>
      </c>
      <c r="C34" s="20">
        <f>+MAX(Q$26:Q$31)-0.4%</f>
        <v>0.14600000000000002</v>
      </c>
      <c r="D34" s="5"/>
      <c r="E34" s="5">
        <f t="shared" si="19"/>
        <v>1.6448536269514724</v>
      </c>
      <c r="G34" s="7">
        <f t="shared" si="20"/>
        <v>0.59110932482080569</v>
      </c>
      <c r="H34" s="5"/>
      <c r="I34" s="6">
        <f t="shared" ref="I34:J43" si="28">+I33</f>
        <v>0.19990000000000002</v>
      </c>
      <c r="J34" s="6">
        <f t="shared" si="28"/>
        <v>0.97</v>
      </c>
      <c r="K34" s="4">
        <f t="shared" si="21"/>
        <v>7.5916373239327428E-2</v>
      </c>
      <c r="L34" s="4">
        <f t="shared" si="22"/>
        <v>0.90141985066521357</v>
      </c>
      <c r="N34" s="8">
        <f t="shared" si="23"/>
        <v>8.6525787131144991</v>
      </c>
      <c r="O34" s="8"/>
      <c r="P34" s="4">
        <f t="shared" si="27"/>
        <v>0.84742128688550089</v>
      </c>
      <c r="Q34" s="4">
        <f t="shared" ref="Q34:Q43" si="29">+IF(P34=MIN(P$33:P$43),C34,-9)</f>
        <v>-9</v>
      </c>
      <c r="T34" s="14"/>
    </row>
    <row r="35" spans="2:22" hidden="1">
      <c r="B35" s="6">
        <f>+B26</f>
        <v>0.05</v>
      </c>
      <c r="C35" s="20">
        <f>+MAX(Q$26:Q$31)-0.3%</f>
        <v>0.14700000000000002</v>
      </c>
      <c r="D35" s="5"/>
      <c r="E35" s="5">
        <f t="shared" si="19"/>
        <v>1.6448536269514724</v>
      </c>
      <c r="G35" s="7">
        <f t="shared" si="20"/>
        <v>0.59546654226736839</v>
      </c>
      <c r="H35" s="5"/>
      <c r="I35" s="6">
        <f t="shared" si="28"/>
        <v>0.19990000000000002</v>
      </c>
      <c r="J35" s="6">
        <f t="shared" si="28"/>
        <v>0.97</v>
      </c>
      <c r="K35" s="4">
        <f t="shared" si="21"/>
        <v>7.5295792075189993E-2</v>
      </c>
      <c r="L35" s="4">
        <f t="shared" si="22"/>
        <v>0.90066099204550376</v>
      </c>
      <c r="N35" s="8">
        <f t="shared" si="23"/>
        <v>8.791048008930705</v>
      </c>
      <c r="O35" s="8"/>
      <c r="P35" s="4">
        <f t="shared" si="27"/>
        <v>0.70895199106929496</v>
      </c>
      <c r="Q35" s="4">
        <f t="shared" si="29"/>
        <v>-9</v>
      </c>
      <c r="T35" s="14"/>
    </row>
    <row r="36" spans="2:22" hidden="1">
      <c r="B36" s="6">
        <f t="shared" ref="B36:B56" si="30">+B33</f>
        <v>0.05</v>
      </c>
      <c r="C36" s="20">
        <f>+MAX(Q$26:Q$31)-0.2%</f>
        <v>0.14800000000000002</v>
      </c>
      <c r="D36" s="5"/>
      <c r="E36" s="5">
        <f t="shared" si="19"/>
        <v>1.6448536269514724</v>
      </c>
      <c r="G36" s="7">
        <f t="shared" si="20"/>
        <v>0.59980392729308374</v>
      </c>
      <c r="H36" s="5"/>
      <c r="I36" s="6">
        <f t="shared" si="28"/>
        <v>0.19990000000000002</v>
      </c>
      <c r="J36" s="6">
        <f t="shared" si="28"/>
        <v>0.97</v>
      </c>
      <c r="K36" s="4">
        <f t="shared" si="21"/>
        <v>7.4681883877191657E-2</v>
      </c>
      <c r="L36" s="4">
        <f t="shared" si="22"/>
        <v>0.89990135466777232</v>
      </c>
      <c r="N36" s="8">
        <f t="shared" si="23"/>
        <v>8.9310901846096371</v>
      </c>
      <c r="O36" s="8"/>
      <c r="P36" s="4">
        <f t="shared" si="27"/>
        <v>0.56890981539036289</v>
      </c>
      <c r="Q36" s="4">
        <f t="shared" si="29"/>
        <v>-9</v>
      </c>
      <c r="T36" s="14"/>
    </row>
    <row r="37" spans="2:22" hidden="1">
      <c r="B37" s="6">
        <f t="shared" si="30"/>
        <v>0.05</v>
      </c>
      <c r="C37" s="20">
        <f>+MAX(Q$26:Q$31)-0.1%</f>
        <v>0.14900000000000002</v>
      </c>
      <c r="D37" s="5"/>
      <c r="E37" s="5">
        <f t="shared" si="19"/>
        <v>1.6448536269514724</v>
      </c>
      <c r="G37" s="7">
        <f t="shared" si="20"/>
        <v>0.60412174048392897</v>
      </c>
      <c r="H37" s="5"/>
      <c r="I37" s="6">
        <f t="shared" si="28"/>
        <v>0.19990000000000002</v>
      </c>
      <c r="J37" s="6">
        <f t="shared" si="28"/>
        <v>0.97</v>
      </c>
      <c r="K37" s="4">
        <f t="shared" si="21"/>
        <v>7.4074547136352864E-2</v>
      </c>
      <c r="L37" s="4">
        <f t="shared" si="22"/>
        <v>0.89914094126756405</v>
      </c>
      <c r="N37" s="8">
        <f t="shared" si="23"/>
        <v>9.072718686803082</v>
      </c>
      <c r="O37" s="8"/>
      <c r="P37" s="4">
        <f t="shared" si="27"/>
        <v>0.42728131319691798</v>
      </c>
      <c r="Q37" s="4">
        <f t="shared" si="29"/>
        <v>-9</v>
      </c>
      <c r="T37" s="14"/>
    </row>
    <row r="38" spans="2:22" hidden="1">
      <c r="B38" s="6">
        <f t="shared" si="30"/>
        <v>0.05</v>
      </c>
      <c r="C38" s="20">
        <f>+MAX(Q$26:Q$31)-0%</f>
        <v>0.15000000000000002</v>
      </c>
      <c r="D38" s="5"/>
      <c r="E38" s="5">
        <f t="shared" si="19"/>
        <v>1.6448536269514724</v>
      </c>
      <c r="G38" s="7">
        <f t="shared" si="20"/>
        <v>0.60842023745768259</v>
      </c>
      <c r="H38" s="5"/>
      <c r="I38" s="6">
        <f t="shared" si="28"/>
        <v>0.19990000000000002</v>
      </c>
      <c r="J38" s="6">
        <f t="shared" si="28"/>
        <v>0.97</v>
      </c>
      <c r="K38" s="4">
        <f t="shared" si="21"/>
        <v>7.347368245645558E-2</v>
      </c>
      <c r="L38" s="4">
        <f t="shared" si="22"/>
        <v>0.8983797545440857</v>
      </c>
      <c r="N38" s="8">
        <f t="shared" si="23"/>
        <v>9.2159470745080938</v>
      </c>
      <c r="O38" s="8"/>
      <c r="P38" s="4">
        <f t="shared" si="27"/>
        <v>0.28405292549190619</v>
      </c>
      <c r="Q38" s="4">
        <f t="shared" si="29"/>
        <v>-9</v>
      </c>
      <c r="T38" s="14"/>
    </row>
    <row r="39" spans="2:22" hidden="1">
      <c r="B39" s="6">
        <f t="shared" si="30"/>
        <v>0.05</v>
      </c>
      <c r="C39" s="20">
        <f>+MAX(Q$26:Q$31)+0.1%</f>
        <v>0.15100000000000002</v>
      </c>
      <c r="D39" s="5"/>
      <c r="E39" s="5">
        <f t="shared" si="19"/>
        <v>1.6448536269514724</v>
      </c>
      <c r="G39" s="7">
        <f t="shared" si="20"/>
        <v>0.61269966899216666</v>
      </c>
      <c r="H39" s="5"/>
      <c r="I39" s="6">
        <f t="shared" si="28"/>
        <v>0.19990000000000002</v>
      </c>
      <c r="J39" s="6">
        <f t="shared" si="28"/>
        <v>0.97</v>
      </c>
      <c r="K39" s="4">
        <f t="shared" si="21"/>
        <v>7.2879192497392165E-2</v>
      </c>
      <c r="L39" s="4">
        <f t="shared" si="22"/>
        <v>0.89761779716086987</v>
      </c>
      <c r="N39" s="8">
        <f t="shared" si="23"/>
        <v>9.3607890200276493</v>
      </c>
      <c r="O39" s="8"/>
      <c r="P39" s="4">
        <f t="shared" si="27"/>
        <v>0.13921097997235066</v>
      </c>
      <c r="Q39" s="4">
        <f t="shared" si="29"/>
        <v>-9</v>
      </c>
      <c r="T39" s="14"/>
    </row>
    <row r="40" spans="2:22" hidden="1">
      <c r="B40" s="6">
        <f t="shared" si="30"/>
        <v>0.05</v>
      </c>
      <c r="C40" s="20">
        <f>+MAX(Q$26:Q$31)+0.2%</f>
        <v>0.15200000000000002</v>
      </c>
      <c r="D40" s="5"/>
      <c r="E40" s="5">
        <f t="shared" si="19"/>
        <v>1.6448536269514724</v>
      </c>
      <c r="G40" s="7">
        <f t="shared" si="20"/>
        <v>0.61696028114932933</v>
      </c>
      <c r="H40" s="5"/>
      <c r="I40" s="6">
        <f t="shared" si="28"/>
        <v>0.19990000000000002</v>
      </c>
      <c r="J40" s="6">
        <f t="shared" si="28"/>
        <v>0.97</v>
      </c>
      <c r="K40" s="4">
        <f t="shared" si="21"/>
        <v>7.2290981920384079E-2</v>
      </c>
      <c r="L40" s="4">
        <f t="shared" si="22"/>
        <v>0.89685507174642631</v>
      </c>
      <c r="N40" s="8">
        <f t="shared" si="23"/>
        <v>9.5072583099402532</v>
      </c>
      <c r="O40" s="8"/>
      <c r="P40" s="4">
        <f t="shared" si="27"/>
        <v>7.258309940253227E-3</v>
      </c>
      <c r="Q40" s="4">
        <f t="shared" si="29"/>
        <v>0.15200000000000002</v>
      </c>
      <c r="T40" s="14"/>
    </row>
    <row r="41" spans="2:22" hidden="1">
      <c r="B41" s="6">
        <f t="shared" si="30"/>
        <v>0.05</v>
      </c>
      <c r="C41" s="20">
        <f>+MAX(Q$26:Q$31)+0.3%</f>
        <v>0.15300000000000002</v>
      </c>
      <c r="D41" s="5"/>
      <c r="E41" s="5">
        <f t="shared" si="19"/>
        <v>1.6448536269514724</v>
      </c>
      <c r="G41" s="7">
        <f t="shared" si="20"/>
        <v>0.62120231539538429</v>
      </c>
      <c r="H41" s="5"/>
      <c r="I41" s="6">
        <f t="shared" si="28"/>
        <v>0.19990000000000002</v>
      </c>
      <c r="J41" s="6">
        <f t="shared" si="28"/>
        <v>0.97</v>
      </c>
      <c r="K41" s="4">
        <f t="shared" si="21"/>
        <v>7.1708957334986501E-2</v>
      </c>
      <c r="L41" s="4">
        <f t="shared" si="22"/>
        <v>0.89609158089487173</v>
      </c>
      <c r="N41" s="8">
        <f t="shared" si="23"/>
        <v>9.6553688460808687</v>
      </c>
      <c r="O41" s="8"/>
      <c r="P41" s="4">
        <f t="shared" si="27"/>
        <v>0.15536884608086865</v>
      </c>
      <c r="Q41" s="4">
        <f t="shared" si="29"/>
        <v>-9</v>
      </c>
      <c r="T41" s="14"/>
    </row>
    <row r="42" spans="2:22" hidden="1">
      <c r="B42" s="6">
        <f t="shared" si="30"/>
        <v>0.05</v>
      </c>
      <c r="C42" s="20">
        <f>+MAX(Q$26:Q$31)+0.4%</f>
        <v>0.15400000000000003</v>
      </c>
      <c r="D42" s="5"/>
      <c r="E42" s="5">
        <f t="shared" si="19"/>
        <v>1.6448536269514724</v>
      </c>
      <c r="G42" s="7">
        <f t="shared" si="20"/>
        <v>0.62542600871710174</v>
      </c>
      <c r="H42" s="5"/>
      <c r="I42" s="6">
        <f t="shared" si="28"/>
        <v>0.19990000000000002</v>
      </c>
      <c r="J42" s="6">
        <f t="shared" si="28"/>
        <v>0.97</v>
      </c>
      <c r="K42" s="4">
        <f t="shared" si="21"/>
        <v>7.1133027247821334E-2</v>
      </c>
      <c r="L42" s="4">
        <f t="shared" si="22"/>
        <v>0.89532732716655006</v>
      </c>
      <c r="N42" s="8">
        <f t="shared" si="23"/>
        <v>9.8051346465306377</v>
      </c>
      <c r="O42" s="8"/>
      <c r="P42" s="4">
        <f t="shared" si="27"/>
        <v>0.30513464653063771</v>
      </c>
      <c r="Q42" s="4">
        <f t="shared" si="29"/>
        <v>-9</v>
      </c>
      <c r="T42" s="14"/>
    </row>
    <row r="43" spans="2:22" hidden="1">
      <c r="B43" s="6">
        <f t="shared" si="30"/>
        <v>0.05</v>
      </c>
      <c r="C43" s="20">
        <f>+MAX(Q$26:Q$31)+0.5%</f>
        <v>0.15500000000000003</v>
      </c>
      <c r="D43" s="5"/>
      <c r="E43" s="5">
        <f t="shared" si="19"/>
        <v>1.6448536269514724</v>
      </c>
      <c r="G43" s="7">
        <f t="shared" si="20"/>
        <v>0.62963159373444499</v>
      </c>
      <c r="H43" s="5"/>
      <c r="I43" s="6">
        <f t="shared" si="28"/>
        <v>0.19990000000000002</v>
      </c>
      <c r="J43" s="6">
        <f t="shared" si="28"/>
        <v>0.97</v>
      </c>
      <c r="K43" s="4">
        <f t="shared" si="21"/>
        <v>7.0563102012963896E-2</v>
      </c>
      <c r="L43" s="4">
        <f t="shared" si="22"/>
        <v>0.89456231308863088</v>
      </c>
      <c r="N43" s="8">
        <f t="shared" si="23"/>
        <v>9.9565698466177572</v>
      </c>
      <c r="O43" s="8"/>
      <c r="P43" s="4">
        <f t="shared" si="27"/>
        <v>0.45656984661775724</v>
      </c>
      <c r="Q43" s="4">
        <f t="shared" si="29"/>
        <v>-9</v>
      </c>
      <c r="T43" s="14"/>
    </row>
    <row r="44" spans="2:22" hidden="1">
      <c r="B44" s="6">
        <f t="shared" si="30"/>
        <v>0.05</v>
      </c>
      <c r="C44" s="20"/>
      <c r="D44" s="5"/>
      <c r="E44" s="5"/>
      <c r="G44" s="7"/>
      <c r="H44" s="5"/>
      <c r="I44" s="6"/>
      <c r="J44" s="6"/>
      <c r="N44" s="8"/>
      <c r="O44" s="8"/>
      <c r="T44" s="14"/>
    </row>
    <row r="45" spans="2:22" hidden="1">
      <c r="B45" s="6">
        <f>B33</f>
        <v>0.05</v>
      </c>
      <c r="C45" s="23">
        <f>+MAX(Q$33:Q$43)-0.05%</f>
        <v>0.15150000000000002</v>
      </c>
      <c r="D45" s="5"/>
      <c r="E45" s="5">
        <f>NORMSINV(1-B45)</f>
        <v>1.6448536269514724</v>
      </c>
      <c r="G45" s="25">
        <f>-NORMSINV(1-C45)+E45</f>
        <v>0.61483231229494306</v>
      </c>
      <c r="H45" s="5"/>
      <c r="I45" s="6">
        <f t="shared" ref="I45:J55" si="31">+I33</f>
        <v>0.19990000000000002</v>
      </c>
      <c r="J45" s="6">
        <f t="shared" si="31"/>
        <v>0.97</v>
      </c>
      <c r="K45" s="4">
        <f>NORMDIST(NORMSINV(I45),G45,1,TRUE)</f>
        <v>7.2584308168089251E-2</v>
      </c>
      <c r="L45" s="4">
        <f>NORMDIST(NORMSINV(J45),G45,1,TRUE)</f>
        <v>0.89723653029462058</v>
      </c>
      <c r="N45" s="8">
        <f>+(1-L45)/(1-J45)/K45*I45</f>
        <v>9.4338193807829747</v>
      </c>
      <c r="O45" s="8"/>
      <c r="P45" s="24">
        <f t="shared" ref="P45:P55" si="32">+ABS(N45-$N$87)</f>
        <v>6.6180619217025338E-2</v>
      </c>
      <c r="Q45" s="4">
        <f>+IF(P45=MIN(P$45:P$55),G45,-9)</f>
        <v>-9</v>
      </c>
      <c r="T45" s="14"/>
    </row>
    <row r="46" spans="2:22" hidden="1">
      <c r="B46" s="6">
        <f t="shared" si="30"/>
        <v>0.05</v>
      </c>
      <c r="C46" s="23">
        <f>+MAX(Q$33:Q$43)-0.04%</f>
        <v>0.15160000000000001</v>
      </c>
      <c r="D46" s="5"/>
      <c r="E46" s="5">
        <f t="shared" ref="E46:E55" si="33">NORMSINV(1-B46)</f>
        <v>1.6448536269514724</v>
      </c>
      <c r="G46" s="25">
        <f t="shared" ref="G46:G55" si="34">-NORMSINV(1-C46)+E46</f>
        <v>0.61525827905633257</v>
      </c>
      <c r="H46" s="5"/>
      <c r="I46" s="6">
        <f t="shared" si="31"/>
        <v>0.19990000000000002</v>
      </c>
      <c r="J46" s="6">
        <f t="shared" si="31"/>
        <v>0.97</v>
      </c>
      <c r="K46" s="4">
        <f t="shared" ref="K46:K55" si="35">NORMDIST(NORMSINV(I46),G46,1,TRUE)</f>
        <v>7.2525518645366938E-2</v>
      </c>
      <c r="L46" s="4">
        <f t="shared" ref="L46:L55" si="36">NORMDIST(NORMSINV(J46),G46,1,TRUE)</f>
        <v>0.89716025390916454</v>
      </c>
      <c r="N46" s="8">
        <f t="shared" ref="N46:N55" si="37">+(1-L46)/(1-J46)/K46*I46</f>
        <v>9.4484744255238109</v>
      </c>
      <c r="O46" s="8"/>
      <c r="P46" s="24">
        <f t="shared" si="32"/>
        <v>5.1525574476189107E-2</v>
      </c>
      <c r="Q46" s="4">
        <f t="shared" ref="Q46:Q55" si="38">+IF(P46=MIN(P$45:P$55),G46,-9)</f>
        <v>-9</v>
      </c>
      <c r="T46" s="14"/>
    </row>
    <row r="47" spans="2:22" hidden="1">
      <c r="B47" s="6">
        <f t="shared" si="30"/>
        <v>0.05</v>
      </c>
      <c r="C47" s="23">
        <f>+MAX(Q$33:Q$43)-0.03%</f>
        <v>0.15170000000000003</v>
      </c>
      <c r="D47" s="5"/>
      <c r="E47" s="5">
        <f t="shared" si="33"/>
        <v>1.6448536269514724</v>
      </c>
      <c r="G47" s="25">
        <f t="shared" si="34"/>
        <v>0.61568405908191925</v>
      </c>
      <c r="H47" s="5"/>
      <c r="I47" s="6">
        <f t="shared" si="31"/>
        <v>0.19990000000000002</v>
      </c>
      <c r="J47" s="6">
        <f t="shared" si="31"/>
        <v>0.97</v>
      </c>
      <c r="K47" s="4">
        <f t="shared" si="35"/>
        <v>7.2466791352235993E-2</v>
      </c>
      <c r="L47" s="4">
        <f t="shared" si="36"/>
        <v>0.89708396985902961</v>
      </c>
      <c r="N47" s="8">
        <f t="shared" si="37"/>
        <v>9.4631458268851034</v>
      </c>
      <c r="O47" s="8"/>
      <c r="P47" s="24">
        <f t="shared" si="32"/>
        <v>3.6854173114896582E-2</v>
      </c>
      <c r="Q47" s="4">
        <f t="shared" si="38"/>
        <v>-9</v>
      </c>
      <c r="T47" s="14"/>
      <c r="U47" s="5"/>
    </row>
    <row r="48" spans="2:22" hidden="1">
      <c r="B48" s="6">
        <f t="shared" si="30"/>
        <v>0.05</v>
      </c>
      <c r="C48" s="23">
        <f>+MAX(Q$33:Q$43)-0.02%</f>
        <v>0.15180000000000002</v>
      </c>
      <c r="D48" s="5"/>
      <c r="E48" s="5">
        <f t="shared" si="33"/>
        <v>1.6448536269514724</v>
      </c>
      <c r="G48" s="25">
        <f t="shared" si="34"/>
        <v>0.61610965261247497</v>
      </c>
      <c r="H48" s="5"/>
      <c r="I48" s="6">
        <f t="shared" si="31"/>
        <v>0.19990000000000002</v>
      </c>
      <c r="J48" s="6">
        <f t="shared" si="31"/>
        <v>0.97</v>
      </c>
      <c r="K48" s="4">
        <f t="shared" si="35"/>
        <v>7.2408126195600109E-2</v>
      </c>
      <c r="L48" s="4">
        <f t="shared" si="36"/>
        <v>0.89700767814680527</v>
      </c>
      <c r="N48" s="8">
        <f t="shared" si="37"/>
        <v>9.4778335987858835</v>
      </c>
      <c r="O48" s="8"/>
      <c r="P48" s="24">
        <f t="shared" si="32"/>
        <v>2.2166401214116505E-2</v>
      </c>
      <c r="Q48" s="4">
        <f t="shared" si="38"/>
        <v>-9</v>
      </c>
      <c r="T48" s="14"/>
    </row>
    <row r="49" spans="2:21" hidden="1">
      <c r="B49" s="6">
        <f t="shared" si="30"/>
        <v>0.05</v>
      </c>
      <c r="C49" s="23">
        <f>+MAX(Q$33:Q$43)-0.01%</f>
        <v>0.15190000000000003</v>
      </c>
      <c r="D49" s="5"/>
      <c r="E49" s="5">
        <f t="shared" si="33"/>
        <v>1.6448536269514724</v>
      </c>
      <c r="G49" s="25">
        <f t="shared" si="34"/>
        <v>0.61653505988832125</v>
      </c>
      <c r="H49" s="5"/>
      <c r="I49" s="6">
        <f t="shared" si="31"/>
        <v>0.19990000000000002</v>
      </c>
      <c r="J49" s="6">
        <f t="shared" si="31"/>
        <v>0.97</v>
      </c>
      <c r="K49" s="4">
        <f t="shared" si="35"/>
        <v>7.2349523082554379E-2</v>
      </c>
      <c r="L49" s="4">
        <f t="shared" si="36"/>
        <v>0.89693137877507678</v>
      </c>
      <c r="N49" s="8">
        <f t="shared" si="37"/>
        <v>9.4925377551568282</v>
      </c>
      <c r="O49" s="8"/>
      <c r="P49" s="24">
        <f t="shared" si="32"/>
        <v>7.4622448431718169E-3</v>
      </c>
      <c r="Q49" s="4">
        <f t="shared" si="38"/>
        <v>-9</v>
      </c>
      <c r="T49" s="14"/>
      <c r="U49" s="5"/>
    </row>
    <row r="50" spans="2:21" hidden="1">
      <c r="B50" s="6">
        <f t="shared" si="30"/>
        <v>0.05</v>
      </c>
      <c r="C50" s="23">
        <f>+MAX(Q$33:Q$43)-0%</f>
        <v>0.15200000000000002</v>
      </c>
      <c r="D50" s="5"/>
      <c r="E50" s="5">
        <f t="shared" si="33"/>
        <v>1.6448536269514724</v>
      </c>
      <c r="G50" s="25">
        <f t="shared" si="34"/>
        <v>0.61696028114932933</v>
      </c>
      <c r="H50" s="5"/>
      <c r="I50" s="6">
        <f t="shared" si="31"/>
        <v>0.19990000000000002</v>
      </c>
      <c r="J50" s="6">
        <f t="shared" si="31"/>
        <v>0.97</v>
      </c>
      <c r="K50" s="4">
        <f t="shared" si="35"/>
        <v>7.2290981920384079E-2</v>
      </c>
      <c r="L50" s="4">
        <f t="shared" si="36"/>
        <v>0.89685507174642631</v>
      </c>
      <c r="N50" s="8">
        <f t="shared" si="37"/>
        <v>9.5072583099402532</v>
      </c>
      <c r="O50" s="8"/>
      <c r="P50" s="24">
        <f t="shared" si="32"/>
        <v>7.258309940253227E-3</v>
      </c>
      <c r="Q50" s="4">
        <f t="shared" si="38"/>
        <v>0.61696028114932933</v>
      </c>
      <c r="T50" s="14"/>
    </row>
    <row r="51" spans="2:21" hidden="1">
      <c r="B51" s="6">
        <f t="shared" si="30"/>
        <v>0.05</v>
      </c>
      <c r="C51" s="23">
        <f>+MAX(Q$33:Q$43)+0.01%</f>
        <v>0.15210000000000001</v>
      </c>
      <c r="D51" s="5"/>
      <c r="E51" s="5">
        <f t="shared" si="33"/>
        <v>1.6448536269514724</v>
      </c>
      <c r="G51" s="25">
        <f t="shared" si="34"/>
        <v>0.61738531663492235</v>
      </c>
      <c r="H51" s="5"/>
      <c r="I51" s="6">
        <f t="shared" si="31"/>
        <v>0.19990000000000002</v>
      </c>
      <c r="J51" s="6">
        <f t="shared" si="31"/>
        <v>0.97</v>
      </c>
      <c r="K51" s="4">
        <f t="shared" si="35"/>
        <v>7.2232502616564886E-2</v>
      </c>
      <c r="L51" s="4">
        <f t="shared" si="36"/>
        <v>0.89677875706343224</v>
      </c>
      <c r="N51" s="8">
        <f t="shared" si="37"/>
        <v>9.5219952770901024</v>
      </c>
      <c r="O51" s="8"/>
      <c r="P51" s="24">
        <f t="shared" si="32"/>
        <v>2.1995277090102405E-2</v>
      </c>
      <c r="Q51" s="4">
        <f t="shared" si="38"/>
        <v>-9</v>
      </c>
      <c r="T51" s="14"/>
      <c r="U51" s="5"/>
    </row>
    <row r="52" spans="2:21" hidden="1">
      <c r="B52" s="6">
        <f t="shared" si="30"/>
        <v>0.05</v>
      </c>
      <c r="C52" s="23">
        <f>+MAX(Q$33:Q$43)+0.02%</f>
        <v>0.15220000000000003</v>
      </c>
      <c r="D52" s="5"/>
      <c r="E52" s="5">
        <f t="shared" si="33"/>
        <v>1.6448536269514724</v>
      </c>
      <c r="G52" s="25">
        <f t="shared" si="34"/>
        <v>0.61781016658407317</v>
      </c>
      <c r="H52" s="5"/>
      <c r="I52" s="6">
        <f t="shared" si="31"/>
        <v>0.19990000000000002</v>
      </c>
      <c r="J52" s="6">
        <f t="shared" si="31"/>
        <v>0.97</v>
      </c>
      <c r="K52" s="4">
        <f t="shared" si="35"/>
        <v>7.2174085078762329E-2</v>
      </c>
      <c r="L52" s="4">
        <f t="shared" si="36"/>
        <v>0.89670243472867051</v>
      </c>
      <c r="N52" s="8">
        <f t="shared" si="37"/>
        <v>9.5367486705718321</v>
      </c>
      <c r="O52" s="8"/>
      <c r="P52" s="24">
        <f t="shared" si="32"/>
        <v>3.6748670571832065E-2</v>
      </c>
      <c r="Q52" s="4">
        <f t="shared" si="38"/>
        <v>-9</v>
      </c>
      <c r="T52" s="14"/>
      <c r="U52" s="5"/>
    </row>
    <row r="53" spans="2:21" hidden="1">
      <c r="B53" s="6">
        <f t="shared" si="30"/>
        <v>0.05</v>
      </c>
      <c r="C53" s="23">
        <f>+MAX(Q$33:Q$43)+0.03%</f>
        <v>0.15230000000000002</v>
      </c>
      <c r="D53" s="5"/>
      <c r="E53" s="5">
        <f t="shared" si="33"/>
        <v>1.6448536269514724</v>
      </c>
      <c r="G53" s="25">
        <f t="shared" si="34"/>
        <v>0.61823483123530965</v>
      </c>
      <c r="H53" s="5"/>
      <c r="I53" s="6">
        <f t="shared" si="31"/>
        <v>0.19990000000000002</v>
      </c>
      <c r="J53" s="6">
        <f t="shared" si="31"/>
        <v>0.97</v>
      </c>
      <c r="K53" s="4">
        <f t="shared" si="35"/>
        <v>7.2115729214831115E-2</v>
      </c>
      <c r="L53" s="4">
        <f t="shared" si="36"/>
        <v>0.89662610474471316</v>
      </c>
      <c r="N53" s="8">
        <f t="shared" si="37"/>
        <v>9.5515185043625834</v>
      </c>
      <c r="O53" s="8"/>
      <c r="P53" s="24">
        <f t="shared" si="32"/>
        <v>5.1518504362583428E-2</v>
      </c>
      <c r="Q53" s="4">
        <f t="shared" si="38"/>
        <v>-9</v>
      </c>
      <c r="T53" s="14"/>
      <c r="U53" s="5"/>
    </row>
    <row r="54" spans="2:21" hidden="1">
      <c r="B54" s="6">
        <f t="shared" si="30"/>
        <v>0.05</v>
      </c>
      <c r="C54" s="23">
        <f>+MAX(Q$33:Q$43)+0.04%</f>
        <v>0.15240000000000004</v>
      </c>
      <c r="D54" s="5"/>
      <c r="E54" s="5">
        <f t="shared" si="33"/>
        <v>1.6448536269514724</v>
      </c>
      <c r="G54" s="25">
        <f t="shared" si="34"/>
        <v>0.61865931082671466</v>
      </c>
      <c r="H54" s="5"/>
      <c r="I54" s="6">
        <f t="shared" si="31"/>
        <v>0.19990000000000002</v>
      </c>
      <c r="J54" s="6">
        <f t="shared" si="31"/>
        <v>0.97</v>
      </c>
      <c r="K54" s="4">
        <f t="shared" si="35"/>
        <v>7.2057434932814024E-2</v>
      </c>
      <c r="L54" s="4">
        <f t="shared" si="36"/>
        <v>0.89654976711412826</v>
      </c>
      <c r="N54" s="8">
        <f t="shared" si="37"/>
        <v>9.5663047924512767</v>
      </c>
      <c r="O54" s="8"/>
      <c r="P54" s="24">
        <f t="shared" si="32"/>
        <v>6.6304792451276739E-2</v>
      </c>
      <c r="Q54" s="4">
        <f t="shared" si="38"/>
        <v>-9</v>
      </c>
      <c r="T54" s="14"/>
      <c r="U54" s="5"/>
    </row>
    <row r="55" spans="2:21" hidden="1">
      <c r="B55" s="6">
        <f t="shared" si="30"/>
        <v>0.05</v>
      </c>
      <c r="C55" s="23">
        <f>+MAX(Q$33:Q$43)+0.05%</f>
        <v>0.15250000000000002</v>
      </c>
      <c r="D55" s="5"/>
      <c r="E55" s="5">
        <f t="shared" si="33"/>
        <v>1.6448536269514724</v>
      </c>
      <c r="G55" s="25">
        <f t="shared" si="34"/>
        <v>0.6190836055959239</v>
      </c>
      <c r="H55" s="5"/>
      <c r="I55" s="6">
        <f t="shared" si="31"/>
        <v>0.19990000000000002</v>
      </c>
      <c r="J55" s="6">
        <f t="shared" si="31"/>
        <v>0.97</v>
      </c>
      <c r="K55" s="4">
        <f t="shared" si="35"/>
        <v>7.199920214094313E-2</v>
      </c>
      <c r="L55" s="4">
        <f t="shared" si="36"/>
        <v>0.89647342183948164</v>
      </c>
      <c r="N55" s="8">
        <f t="shared" si="37"/>
        <v>9.5811075488382329</v>
      </c>
      <c r="O55" s="8"/>
      <c r="P55" s="24">
        <f t="shared" si="32"/>
        <v>8.1107548838232901E-2</v>
      </c>
      <c r="Q55" s="4">
        <f t="shared" si="38"/>
        <v>-9</v>
      </c>
      <c r="T55" s="14"/>
      <c r="U55" s="5"/>
    </row>
    <row r="56" spans="2:21" hidden="1">
      <c r="B56" s="6">
        <f t="shared" si="30"/>
        <v>0.05</v>
      </c>
      <c r="C56" s="23"/>
      <c r="D56" s="5"/>
      <c r="E56" s="5"/>
      <c r="G56" s="7"/>
      <c r="H56" s="5"/>
      <c r="I56" s="6"/>
      <c r="J56" s="6"/>
      <c r="N56" s="8"/>
      <c r="O56" s="8"/>
      <c r="Q56" s="4">
        <v>-1</v>
      </c>
      <c r="T56" s="14"/>
      <c r="U56" s="5"/>
    </row>
    <row r="57" spans="2:21" hidden="1">
      <c r="B57" s="6"/>
      <c r="C57" s="23"/>
      <c r="D57" s="5"/>
      <c r="E57" s="5"/>
      <c r="G57" s="7"/>
      <c r="H57" s="5"/>
      <c r="I57" s="6"/>
      <c r="J57" s="6"/>
      <c r="N57" s="8"/>
      <c r="O57" s="8"/>
      <c r="T57" s="14"/>
      <c r="U57" s="5"/>
    </row>
    <row r="58" spans="2:21" hidden="1">
      <c r="B58" s="6"/>
      <c r="C58" s="23"/>
      <c r="D58" s="5"/>
      <c r="E58" s="5"/>
      <c r="G58" s="7"/>
      <c r="H58" s="5"/>
      <c r="I58" s="6"/>
      <c r="J58" s="6"/>
      <c r="N58" s="8"/>
      <c r="O58" s="8"/>
      <c r="T58" s="14"/>
      <c r="U58" s="5"/>
    </row>
    <row r="59" spans="2:21" hidden="1">
      <c r="B59" s="6"/>
      <c r="C59"/>
      <c r="D59"/>
      <c r="E59"/>
      <c r="F59"/>
      <c r="G59"/>
      <c r="H59"/>
      <c r="I59"/>
      <c r="J59"/>
      <c r="K59"/>
      <c r="N59" s="8"/>
    </row>
    <row r="60" spans="2:21" hidden="1">
      <c r="B60" s="6"/>
      <c r="C60" s="7">
        <f t="shared" ref="C60:C78" si="39">IF(AND($N$87 &gt; N4,$N$87 &lt; N5),C4,-9)</f>
        <v>-9</v>
      </c>
      <c r="D60" t="s">
        <v>25</v>
      </c>
      <c r="E60"/>
      <c r="F60"/>
      <c r="H60"/>
      <c r="I60"/>
      <c r="J60"/>
      <c r="N60" s="8" t="s">
        <v>19</v>
      </c>
      <c r="Q60" s="26">
        <f>+IF(MAX(C60:C78)=-9,-1,MAX(Q45:Q55))</f>
        <v>0.61696028114932933</v>
      </c>
    </row>
    <row r="61" spans="2:21" hidden="1">
      <c r="B61" s="6"/>
      <c r="C61" s="7">
        <f t="shared" si="39"/>
        <v>-9</v>
      </c>
      <c r="D61" t="s">
        <v>26</v>
      </c>
      <c r="E61"/>
      <c r="F61"/>
      <c r="H61"/>
      <c r="I61"/>
      <c r="J61"/>
      <c r="N61" s="8"/>
      <c r="Q61" s="8"/>
    </row>
    <row r="62" spans="2:21" hidden="1">
      <c r="B62" s="6"/>
      <c r="C62" s="7">
        <f t="shared" si="39"/>
        <v>-9</v>
      </c>
      <c r="D62"/>
      <c r="E62"/>
      <c r="F62"/>
      <c r="H62"/>
      <c r="I62"/>
      <c r="J62"/>
      <c r="N62" s="8"/>
    </row>
    <row r="63" spans="2:21" hidden="1">
      <c r="B63" s="6"/>
      <c r="C63" s="7">
        <f t="shared" si="39"/>
        <v>0.15000000000000002</v>
      </c>
      <c r="D63"/>
      <c r="E63"/>
      <c r="F63"/>
      <c r="H63"/>
      <c r="I63"/>
      <c r="J63"/>
      <c r="N63" s="8"/>
    </row>
    <row r="64" spans="2:21" hidden="1">
      <c r="B64" s="6"/>
      <c r="C64" s="7">
        <f t="shared" si="39"/>
        <v>-9</v>
      </c>
      <c r="D64"/>
      <c r="E64"/>
      <c r="F64"/>
      <c r="H64"/>
      <c r="I64"/>
      <c r="J64"/>
      <c r="N64" s="8"/>
    </row>
    <row r="65" spans="2:15" hidden="1">
      <c r="B65" s="6"/>
      <c r="C65" s="7">
        <f t="shared" si="39"/>
        <v>-9</v>
      </c>
      <c r="D65"/>
      <c r="E65"/>
      <c r="F65"/>
      <c r="H65"/>
      <c r="I65"/>
      <c r="J65"/>
      <c r="N65" s="8"/>
    </row>
    <row r="66" spans="2:15" hidden="1">
      <c r="B66" s="6"/>
      <c r="C66" s="7">
        <f t="shared" si="39"/>
        <v>-9</v>
      </c>
      <c r="D66"/>
      <c r="E66"/>
      <c r="F66"/>
      <c r="H66"/>
      <c r="I66"/>
      <c r="J66"/>
      <c r="N66" s="8"/>
    </row>
    <row r="67" spans="2:15" hidden="1">
      <c r="B67" s="6"/>
      <c r="C67" s="7">
        <f t="shared" si="39"/>
        <v>-9</v>
      </c>
      <c r="D67"/>
      <c r="E67"/>
      <c r="F67" t="s">
        <v>28</v>
      </c>
      <c r="H67"/>
      <c r="I67"/>
      <c r="J67"/>
      <c r="N67" s="8"/>
    </row>
    <row r="68" spans="2:15" hidden="1">
      <c r="B68" s="6"/>
      <c r="C68" s="7">
        <f t="shared" si="39"/>
        <v>-9</v>
      </c>
      <c r="D68"/>
      <c r="E68"/>
      <c r="F68" t="s">
        <v>29</v>
      </c>
      <c r="H68"/>
      <c r="I68"/>
      <c r="J68"/>
      <c r="N68" s="8"/>
    </row>
    <row r="69" spans="2:15" hidden="1">
      <c r="B69" s="6"/>
      <c r="C69" s="7">
        <f t="shared" si="39"/>
        <v>-9</v>
      </c>
      <c r="D69"/>
      <c r="E69"/>
      <c r="F69"/>
      <c r="H69"/>
      <c r="I69"/>
      <c r="J69"/>
      <c r="N69" s="8"/>
    </row>
    <row r="70" spans="2:15" hidden="1">
      <c r="B70" s="6"/>
      <c r="C70" s="7">
        <f t="shared" si="39"/>
        <v>-9</v>
      </c>
      <c r="D70"/>
      <c r="E70"/>
      <c r="F70" t="s">
        <v>51</v>
      </c>
      <c r="G70" s="4">
        <f>+J106</f>
        <v>23</v>
      </c>
      <c r="H70"/>
      <c r="I70"/>
      <c r="J70"/>
      <c r="N70" s="8"/>
    </row>
    <row r="71" spans="2:15" hidden="1">
      <c r="B71" s="6"/>
      <c r="C71" s="7">
        <f t="shared" si="39"/>
        <v>-9</v>
      </c>
      <c r="D71"/>
      <c r="E71"/>
      <c r="F71"/>
      <c r="H71"/>
      <c r="I71"/>
      <c r="J71"/>
      <c r="N71" s="8"/>
    </row>
    <row r="72" spans="2:15" hidden="1">
      <c r="B72" s="6"/>
      <c r="C72" s="7">
        <f t="shared" si="39"/>
        <v>-9</v>
      </c>
      <c r="D72"/>
      <c r="E72"/>
      <c r="F72" t="s">
        <v>52</v>
      </c>
      <c r="G72" s="4">
        <f>+T26/V26/G70*(1000-G70)</f>
        <v>16.779482002515582</v>
      </c>
      <c r="H72"/>
      <c r="I72" t="s">
        <v>52</v>
      </c>
      <c r="J72" s="4">
        <f>+W26/Y26/G70*(1000-G70)</f>
        <v>12.239832360394599</v>
      </c>
      <c r="N72" s="8"/>
    </row>
    <row r="73" spans="2:15" hidden="1">
      <c r="B73" s="6"/>
      <c r="C73" s="7">
        <f t="shared" si="39"/>
        <v>-9</v>
      </c>
      <c r="D73"/>
      <c r="E73"/>
      <c r="F73" t="s">
        <v>53</v>
      </c>
      <c r="G73" s="4">
        <f>IF(G72&gt;10,ROUND(G72,0),IF(G72&gt;1,ROUND(G72,1),IF(1/G72&gt;10,ROUND(1/G72,0),ROUND(1/G72,1))))</f>
        <v>17</v>
      </c>
      <c r="H73"/>
      <c r="I73" t="s">
        <v>54</v>
      </c>
      <c r="J73" s="4">
        <f>IF(J72&gt;10,ROUND(J72,0),IF(J72&gt;1,ROUND(J72,1),IF(1/J72&gt;10,ROUND(1/J72,0),ROUND(1/J72,1))))</f>
        <v>12</v>
      </c>
      <c r="N73" s="8"/>
    </row>
    <row r="74" spans="2:15" hidden="1">
      <c r="B74" s="6"/>
      <c r="C74" s="7">
        <f t="shared" si="39"/>
        <v>-9</v>
      </c>
      <c r="D74"/>
      <c r="E74"/>
      <c r="F74"/>
      <c r="H74"/>
      <c r="I74"/>
      <c r="N74" s="8"/>
    </row>
    <row r="75" spans="2:15" hidden="1">
      <c r="B75" s="6"/>
      <c r="C75" s="7">
        <f t="shared" si="39"/>
        <v>-9</v>
      </c>
      <c r="D75"/>
      <c r="E75"/>
      <c r="F75"/>
      <c r="H75"/>
      <c r="I75"/>
      <c r="J75"/>
      <c r="N75" s="8"/>
    </row>
    <row r="76" spans="2:15" hidden="1">
      <c r="B76" s="6"/>
      <c r="C76" s="7">
        <f t="shared" si="39"/>
        <v>-9</v>
      </c>
      <c r="D76"/>
      <c r="E76"/>
      <c r="F76"/>
      <c r="H76"/>
      <c r="I76"/>
      <c r="J76"/>
      <c r="N76" s="8"/>
      <c r="O76" s="8"/>
    </row>
    <row r="77" spans="2:15" hidden="1">
      <c r="B77" s="6"/>
      <c r="C77" s="7">
        <f t="shared" si="39"/>
        <v>-9</v>
      </c>
      <c r="D77"/>
      <c r="E77"/>
      <c r="F77"/>
      <c r="H77"/>
      <c r="I77"/>
      <c r="J77"/>
      <c r="N77" s="8"/>
      <c r="O77" s="8"/>
    </row>
    <row r="78" spans="2:15" hidden="1">
      <c r="B78" s="6"/>
      <c r="C78" s="7">
        <f t="shared" si="39"/>
        <v>-9</v>
      </c>
      <c r="D78"/>
      <c r="E78"/>
      <c r="F78"/>
      <c r="H78"/>
      <c r="I78"/>
      <c r="J78"/>
      <c r="N78" s="8"/>
      <c r="O78" s="8"/>
    </row>
    <row r="79" spans="2:15" hidden="1">
      <c r="B79" s="6"/>
      <c r="C79">
        <v>-1</v>
      </c>
      <c r="D79"/>
      <c r="E79"/>
      <c r="F79"/>
      <c r="G79"/>
      <c r="H79"/>
      <c r="I79"/>
      <c r="J79"/>
      <c r="N79" s="8"/>
      <c r="O79" s="8"/>
    </row>
    <row r="80" spans="2:15" hidden="1">
      <c r="B80" s="6"/>
      <c r="C80" s="7"/>
      <c r="D80" s="7"/>
      <c r="E80"/>
      <c r="F80"/>
      <c r="G80"/>
      <c r="H80"/>
      <c r="I80"/>
      <c r="J80"/>
      <c r="N80" s="8"/>
      <c r="O80" s="8"/>
    </row>
    <row r="81" spans="2:19" hidden="1"/>
    <row r="82" spans="2:19" ht="15.75">
      <c r="D82" s="88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</row>
    <row r="83" spans="2:19" ht="15.75">
      <c r="D83" s="88" t="s">
        <v>42</v>
      </c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</row>
    <row r="84" spans="2:19" ht="15.75">
      <c r="D84" s="13"/>
    </row>
    <row r="85" spans="2:19" ht="15.75" customHeight="1">
      <c r="D85" s="90" t="s">
        <v>72</v>
      </c>
      <c r="E85" s="91"/>
      <c r="G85" s="9" t="s">
        <v>30</v>
      </c>
      <c r="I85" s="9"/>
      <c r="J85" s="9"/>
      <c r="K85" s="9"/>
      <c r="L85" s="10"/>
      <c r="N85" s="59">
        <v>0.2</v>
      </c>
      <c r="P85" s="110" t="s">
        <v>74</v>
      </c>
      <c r="Q85" s="111"/>
      <c r="R85" s="111"/>
      <c r="S85" s="111"/>
    </row>
    <row r="86" spans="2:19">
      <c r="D86" s="92"/>
      <c r="E86" s="93"/>
      <c r="G86" s="9" t="s">
        <v>31</v>
      </c>
      <c r="I86" s="9"/>
      <c r="J86" s="9"/>
      <c r="K86" s="9"/>
      <c r="L86" s="10"/>
      <c r="N86" s="59">
        <v>0.03</v>
      </c>
      <c r="P86" s="111"/>
      <c r="Q86" s="111"/>
      <c r="R86" s="111"/>
      <c r="S86" s="111"/>
    </row>
    <row r="87" spans="2:19" ht="15" customHeight="1">
      <c r="D87" s="94"/>
      <c r="E87" s="95"/>
      <c r="G87" s="9" t="s">
        <v>41</v>
      </c>
      <c r="I87" s="9"/>
      <c r="J87" s="9"/>
      <c r="K87" s="9"/>
      <c r="L87" s="10"/>
      <c r="N87" s="60">
        <v>9.5</v>
      </c>
      <c r="P87" s="111"/>
      <c r="Q87" s="111"/>
      <c r="R87" s="111"/>
      <c r="S87" s="111"/>
    </row>
    <row r="88" spans="2:19" ht="15" customHeight="1">
      <c r="K88" s="35"/>
      <c r="P88" s="111"/>
      <c r="Q88" s="111"/>
      <c r="R88" s="111"/>
      <c r="S88" s="111"/>
    </row>
    <row r="89" spans="2:19" ht="15" customHeight="1">
      <c r="E89" s="18"/>
      <c r="F89"/>
      <c r="G89"/>
      <c r="H89"/>
      <c r="I89"/>
      <c r="J89"/>
      <c r="K89"/>
    </row>
    <row r="90" spans="2:19" ht="15" customHeight="1">
      <c r="B90" s="17"/>
    </row>
    <row r="91" spans="2:19" ht="15" customHeight="1"/>
    <row r="92" spans="2:19" ht="15" customHeight="1"/>
    <row r="93" spans="2:19" ht="15" customHeight="1"/>
    <row r="94" spans="2:19" ht="15" customHeight="1">
      <c r="D94" s="105" t="s">
        <v>32</v>
      </c>
      <c r="E94" s="109"/>
      <c r="F94" s="109"/>
      <c r="G94" s="36"/>
      <c r="H94" s="106" t="s">
        <v>33</v>
      </c>
      <c r="I94" s="106"/>
      <c r="J94" s="106"/>
    </row>
    <row r="95" spans="2:19" ht="15" customHeight="1">
      <c r="D95" s="109"/>
      <c r="E95" s="109"/>
      <c r="F95" s="109"/>
      <c r="G95" s="47"/>
      <c r="H95" s="106"/>
      <c r="I95" s="106"/>
      <c r="J95" s="106"/>
    </row>
    <row r="96" spans="2:19" ht="15" customHeight="1">
      <c r="D96" s="109"/>
      <c r="E96" s="109"/>
      <c r="F96" s="109"/>
      <c r="G96" s="47"/>
      <c r="H96" s="106"/>
      <c r="I96" s="106"/>
      <c r="J96" s="106"/>
    </row>
    <row r="97" spans="4:10" ht="15" customHeight="1">
      <c r="D97" s="109"/>
      <c r="E97" s="109"/>
      <c r="F97" s="109"/>
      <c r="H97" s="106"/>
      <c r="I97" s="106"/>
      <c r="J97" s="106"/>
    </row>
    <row r="98" spans="4:10" ht="15" customHeight="1">
      <c r="E98" s="37"/>
      <c r="F98" s="37"/>
      <c r="H98" s="37"/>
      <c r="I98" s="37"/>
    </row>
    <row r="99" spans="4:10" ht="15" customHeight="1">
      <c r="D99" s="37"/>
      <c r="E99" s="37"/>
      <c r="F99" s="37"/>
      <c r="G99" s="61" t="s">
        <v>20</v>
      </c>
      <c r="H99" s="37"/>
      <c r="I99" s="37"/>
    </row>
    <row r="100" spans="4:10" ht="15" customHeight="1"/>
    <row r="101" spans="4:10" ht="15" customHeight="1">
      <c r="D101" s="53" t="str">
        <f>IF(UPPER(G99)="DR","Specify the detection rate as a percentage","Specify the false positive rate as a percentage")</f>
        <v>Specify the false positive rate as a percentage</v>
      </c>
      <c r="I101" s="62">
        <v>0.1</v>
      </c>
    </row>
    <row r="102" spans="4:10" ht="15" customHeight="1">
      <c r="H102" s="30"/>
    </row>
    <row r="103" spans="4:10" ht="15" customHeight="1">
      <c r="D103" s="55" t="str">
        <f>+IF($Q$60 &gt; 0,IF(UPPER(G99)="DR",CONCATENATE("False positive rate is ",W27, "% for a ",Y27,"% detection rate"), CONCATENATE("Detection rate is ",V27, "% for a ",T27,"% false positive rate ")),"Relative odds exceeds the program's calculation limit")</f>
        <v xml:space="preserve">Detection rate is 25% for a 10% false positive rate </v>
      </c>
      <c r="G103" s="5"/>
      <c r="I103" s="29"/>
      <c r="J103"/>
    </row>
    <row r="104" spans="4:10" ht="15" customHeight="1">
      <c r="J104"/>
    </row>
    <row r="105" spans="4:10" ht="15" customHeight="1">
      <c r="D105" s="105" t="s">
        <v>55</v>
      </c>
      <c r="E105" s="106"/>
      <c r="F105" s="106"/>
      <c r="G105" s="106"/>
      <c r="H105" s="106"/>
      <c r="I105" s="106"/>
      <c r="J105" s="106"/>
    </row>
    <row r="106" spans="4:10" ht="15" customHeight="1">
      <c r="D106" s="19" t="s">
        <v>56</v>
      </c>
      <c r="E106" s="19"/>
      <c r="F106" s="19"/>
      <c r="G106" s="19"/>
      <c r="H106" s="19"/>
      <c r="I106" s="19"/>
      <c r="J106" s="63">
        <v>23</v>
      </c>
    </row>
    <row r="107" spans="4:10" ht="15" customHeight="1"/>
    <row r="108" spans="4:10" ht="15" customHeight="1">
      <c r="D108" s="54" t="str">
        <f>IF(ISNUMBER(J106),IF(UPPER(G99)="DR",IF(J72&gt;1,CONCATENATE("Odds of being affected given a positive result (OAPR) is 1 : ",J73),CONCATENATE("Odds of being affected given a positive result (OAPR) is ",J73," : 1")),IF(G72&gt;1,CONCATENATE("Odds of being affected given a positive result (OAPR) is 1 : ",G73),CONCATENATE("Odds of being affected given a positive result (OAPR) is ",G73," : 1"))),CONCATENATE("Odds of being affected given a positive result (OAPR) is unspecified"))</f>
        <v>Odds of being affected given a positive result (OAPR) is 1 : 17</v>
      </c>
      <c r="E108" s="38"/>
      <c r="F108" s="38"/>
      <c r="G108" s="38"/>
      <c r="H108" s="38"/>
      <c r="I108" s="38"/>
      <c r="J108" s="50"/>
    </row>
    <row r="109" spans="4:10" ht="15" customHeight="1">
      <c r="E109" s="38"/>
      <c r="F109" s="38"/>
      <c r="G109" s="38"/>
      <c r="H109" s="38"/>
      <c r="I109" s="38"/>
      <c r="J109" s="38"/>
    </row>
    <row r="110" spans="4:10" ht="15" customHeight="1">
      <c r="D110" s="56" t="str">
        <f>+IF($Q$60 &gt; 0, +CONCATENATE("Odds ratio per 1 sd increase in value of risk factor is ", ROUND(EXP(Q60),2)),+CONCATENATE(""))</f>
        <v>Odds ratio per 1 sd increase in value of risk factor is 1.85</v>
      </c>
      <c r="E110" s="38"/>
      <c r="F110" s="38"/>
      <c r="G110" s="38"/>
      <c r="H110" s="38"/>
      <c r="I110" s="38"/>
      <c r="J110" s="38"/>
    </row>
    <row r="111" spans="4:10" ht="15" customHeight="1">
      <c r="I111"/>
      <c r="J111"/>
    </row>
    <row r="112" spans="4:10" ht="15" customHeight="1">
      <c r="I112"/>
      <c r="J112"/>
    </row>
    <row r="113" spans="4:10" ht="15" customHeight="1">
      <c r="D113"/>
      <c r="E113"/>
      <c r="F113"/>
      <c r="G113"/>
      <c r="H113"/>
      <c r="I113"/>
      <c r="J113"/>
    </row>
    <row r="114" spans="4:10" ht="15" customHeight="1">
      <c r="D114"/>
      <c r="E114"/>
      <c r="F114"/>
      <c r="G114"/>
      <c r="H114"/>
      <c r="I114"/>
      <c r="J114"/>
    </row>
    <row r="115" spans="4:10" ht="15" customHeight="1">
      <c r="D115"/>
      <c r="E115"/>
      <c r="F115"/>
      <c r="G115"/>
      <c r="H115"/>
      <c r="I115"/>
      <c r="J115"/>
    </row>
    <row r="116" spans="4:10" ht="15" customHeight="1">
      <c r="D116" s="107"/>
      <c r="E116" s="108"/>
      <c r="F116" s="108"/>
      <c r="G116" s="108"/>
      <c r="H116" s="108"/>
      <c r="I116" s="108"/>
      <c r="J116" s="108"/>
    </row>
    <row r="117" spans="4:10" ht="15" customHeight="1">
      <c r="D117" s="108"/>
      <c r="E117" s="108"/>
      <c r="F117" s="108"/>
      <c r="G117" s="108"/>
      <c r="H117" s="108"/>
      <c r="I117" s="108"/>
      <c r="J117" s="108"/>
    </row>
    <row r="118" spans="4:10" ht="15" customHeight="1">
      <c r="E118"/>
      <c r="F118"/>
      <c r="G118"/>
      <c r="H118"/>
      <c r="I118"/>
      <c r="J118"/>
    </row>
    <row r="119" spans="4:10" ht="15" customHeight="1">
      <c r="E119"/>
      <c r="F119"/>
      <c r="G119"/>
      <c r="H119"/>
      <c r="I119"/>
      <c r="J119"/>
    </row>
    <row r="120" spans="4:10" ht="15" customHeight="1">
      <c r="D120" s="21"/>
      <c r="E120"/>
      <c r="F120"/>
      <c r="G120"/>
      <c r="H120"/>
      <c r="I120"/>
      <c r="J120"/>
    </row>
  </sheetData>
  <sheetProtection password="D8B0" sheet="1" objects="1" scenarios="1"/>
  <protectedRanges>
    <protectedRange sqref="N85:N87 K88" name="Range1"/>
  </protectedRanges>
  <mergeCells count="8">
    <mergeCell ref="D105:J105"/>
    <mergeCell ref="D116:J117"/>
    <mergeCell ref="D94:F97"/>
    <mergeCell ref="H94:J97"/>
    <mergeCell ref="D82:Q82"/>
    <mergeCell ref="D83:Q83"/>
    <mergeCell ref="D85:E87"/>
    <mergeCell ref="P85:S88"/>
  </mergeCells>
  <phoneticPr fontId="4" type="noConversion"/>
  <hyperlinks>
    <hyperlink ref="D85:E87" location="Introduction!A1" display="Left click here to return to first page"/>
  </hyperlinks>
  <pageMargins left="0.18" right="0.22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autoPageBreaks="0"/>
  </sheetPr>
  <dimension ref="A1:V101"/>
  <sheetViews>
    <sheetView showGridLines="0" showRowColHeaders="0" topLeftCell="B59" zoomScaleNormal="100" workbookViewId="0">
      <selection activeCell="C64" sqref="C64:D66"/>
    </sheetView>
  </sheetViews>
  <sheetFormatPr defaultRowHeight="12.75"/>
  <cols>
    <col min="1" max="1" width="0" style="4" hidden="1" customWidth="1"/>
    <col min="2" max="2" width="1.7109375" style="4" customWidth="1"/>
    <col min="3" max="3" width="8.7109375" style="4" customWidth="1"/>
    <col min="4" max="4" width="5.140625" style="4" customWidth="1"/>
    <col min="5" max="5" width="12.28515625" style="4" customWidth="1"/>
    <col min="6" max="6" width="7.85546875" style="5" customWidth="1"/>
    <col min="7" max="7" width="9.28515625" style="4" customWidth="1"/>
    <col min="8" max="8" width="6.85546875" style="4" customWidth="1"/>
    <col min="9" max="9" width="3.7109375" style="4" customWidth="1"/>
    <col min="10" max="18" width="7.7109375" style="4" customWidth="1"/>
    <col min="19" max="20" width="7.7109375" customWidth="1"/>
  </cols>
  <sheetData>
    <row r="1" spans="2:22" hidden="1"/>
    <row r="2" spans="2:22" hidden="1">
      <c r="I2" s="4" t="s">
        <v>0</v>
      </c>
      <c r="K2" s="4" t="s">
        <v>1</v>
      </c>
      <c r="N2" s="4" t="s">
        <v>16</v>
      </c>
      <c r="O2" s="4" t="s">
        <v>8</v>
      </c>
    </row>
    <row r="3" spans="2:22" hidden="1">
      <c r="B3" s="5" t="s">
        <v>2</v>
      </c>
      <c r="C3" s="5" t="s">
        <v>11</v>
      </c>
      <c r="D3" s="5"/>
      <c r="E3" s="5" t="s">
        <v>3</v>
      </c>
      <c r="G3" s="5" t="s">
        <v>3</v>
      </c>
      <c r="H3" s="5"/>
      <c r="I3" s="5" t="s">
        <v>4</v>
      </c>
      <c r="J3" s="5" t="s">
        <v>5</v>
      </c>
      <c r="K3" s="4" t="s">
        <v>6</v>
      </c>
      <c r="L3" s="4" t="s">
        <v>7</v>
      </c>
      <c r="N3" s="4" t="s">
        <v>8</v>
      </c>
      <c r="O3" s="4" t="s">
        <v>14</v>
      </c>
      <c r="T3" t="s">
        <v>20</v>
      </c>
      <c r="U3" t="s">
        <v>3</v>
      </c>
      <c r="V3" t="s">
        <v>18</v>
      </c>
    </row>
    <row r="4" spans="2:22" hidden="1">
      <c r="B4" s="5"/>
      <c r="C4" s="5">
        <v>0</v>
      </c>
      <c r="D4" s="5"/>
      <c r="E4" s="5">
        <f>+E5</f>
        <v>1.6448536269514715</v>
      </c>
      <c r="G4" s="5" t="s">
        <v>9</v>
      </c>
      <c r="H4" s="5"/>
      <c r="I4" s="5" t="s">
        <v>10</v>
      </c>
      <c r="J4" s="5" t="s">
        <v>10</v>
      </c>
      <c r="T4">
        <v>0.01</v>
      </c>
      <c r="U4" s="5">
        <f>NORMSINV(1-T4)</f>
        <v>2.3263478740408408</v>
      </c>
      <c r="V4">
        <f>1-NORMSDIST(U4-$Q$38)</f>
        <v>1.0000000000000009E-2</v>
      </c>
    </row>
    <row r="5" spans="2:22" hidden="1">
      <c r="B5" s="6">
        <f>+M66</f>
        <v>0.05</v>
      </c>
      <c r="C5" s="6">
        <v>0.05</v>
      </c>
      <c r="D5" s="5">
        <f>IF(C5&gt;B5-0.01,C5,D4)</f>
        <v>0.05</v>
      </c>
      <c r="E5" s="5">
        <f>NORMSINV(1-B5)</f>
        <v>1.6448536269514715</v>
      </c>
      <c r="G5" s="7">
        <f>-NORMSINV(1-C5)+E5</f>
        <v>0</v>
      </c>
      <c r="H5" s="5"/>
      <c r="I5" s="6">
        <f>+M64-0.0001</f>
        <v>0.19990000000000002</v>
      </c>
      <c r="J5" s="6">
        <f>1-M65</f>
        <v>0.8</v>
      </c>
      <c r="K5" s="4">
        <f>NORMDIST(NORMSINV(I5),G5,1,TRUE)</f>
        <v>0.19990000000000019</v>
      </c>
      <c r="L5" s="4">
        <f>NORMDIST(NORMSINV(J5),G5,1,TRUE)</f>
        <v>0.80000000000000016</v>
      </c>
      <c r="N5" s="14">
        <f>+(1-L5)/(1-J5)/K5*I5</f>
        <v>0.99999999999999856</v>
      </c>
      <c r="O5" s="8">
        <f>+EXP(G5)</f>
        <v>1</v>
      </c>
      <c r="Q5" s="39">
        <f t="shared" ref="Q5:Q23" si="0">IF(N5&gt;10,ROUND(N5,2-LEN(INT(N5))),ROUND(N5,1))</f>
        <v>1</v>
      </c>
      <c r="R5" s="8">
        <f t="shared" ref="R5:R22" si="1">IF(N5&gt;10,ROUND(N5,2-LEN(INT(N5))),ROUND(N5,1))</f>
        <v>1</v>
      </c>
      <c r="S5" s="40">
        <f>IF(N5&gt;10,R5,Q5)</f>
        <v>1</v>
      </c>
      <c r="T5" s="14">
        <v>0.05</v>
      </c>
      <c r="U5" s="5">
        <f>NORMSINV(1-T5)</f>
        <v>1.6448536269514715</v>
      </c>
      <c r="V5">
        <f>1-NORMSDIST(U5-$Q$38)</f>
        <v>5.0000000000000155E-2</v>
      </c>
    </row>
    <row r="6" spans="2:22" hidden="1">
      <c r="B6" s="6">
        <f>+B5</f>
        <v>0.05</v>
      </c>
      <c r="C6" s="6">
        <f>+C5+0.05</f>
        <v>0.1</v>
      </c>
      <c r="D6" s="5">
        <f t="shared" ref="D6:D23" si="2">IF(C6&gt;B6-0.01,C6)</f>
        <v>0.1</v>
      </c>
      <c r="E6" s="5">
        <f t="shared" ref="E6:E19" si="3">NORMSINV(1-B6)</f>
        <v>1.6448536269514715</v>
      </c>
      <c r="G6" s="7">
        <f t="shared" ref="G6:G19" si="4">-NORMSINV(1-C6)+E6</f>
        <v>0.36330206140687094</v>
      </c>
      <c r="H6" s="5"/>
      <c r="I6" s="6">
        <f>+I5</f>
        <v>0.19990000000000002</v>
      </c>
      <c r="J6" s="6">
        <f>+J5</f>
        <v>0.8</v>
      </c>
      <c r="K6" s="4">
        <f t="shared" ref="K6:K19" si="5">NORMDIST(NORMSINV(I6),G6,1,TRUE)</f>
        <v>0.11404750968114029</v>
      </c>
      <c r="L6" s="4">
        <f t="shared" ref="L6:L19" si="6">NORMDIST(NORMSINV(J6),G6,1,TRUE)</f>
        <v>0.68378847366409556</v>
      </c>
      <c r="N6" s="14">
        <f t="shared" ref="N6:N19" si="7">+(1-L6)/(1-J6)/K6*I6</f>
        <v>2.7712435059421683</v>
      </c>
      <c r="O6" s="8">
        <f t="shared" ref="O6:O23" si="8">+EXP(G6)</f>
        <v>1.4380701791437582</v>
      </c>
      <c r="Q6" s="39">
        <f t="shared" si="0"/>
        <v>2.8</v>
      </c>
      <c r="R6" s="8">
        <f t="shared" si="1"/>
        <v>2.8</v>
      </c>
      <c r="S6" s="40">
        <f t="shared" ref="S6:S23" si="9">IF(N6&gt;10,R6,Q6)</f>
        <v>2.8</v>
      </c>
      <c r="T6" s="14">
        <f>+T5+0.05</f>
        <v>0.1</v>
      </c>
      <c r="U6" s="5">
        <f t="shared" ref="U6:U24" si="10">NORMSINV(1-T6)</f>
        <v>1.2815515655446006</v>
      </c>
      <c r="V6">
        <f t="shared" ref="V6:V24" si="11">1-NORMSDIST(U6-$Q$38)</f>
        <v>9.9999999999999978E-2</v>
      </c>
    </row>
    <row r="7" spans="2:22" hidden="1">
      <c r="B7" s="6">
        <f t="shared" ref="B7:B24" si="12">+B6</f>
        <v>0.05</v>
      </c>
      <c r="C7" s="6">
        <f t="shared" ref="C7:C19" si="13">+C6+0.05</f>
        <v>0.15000000000000002</v>
      </c>
      <c r="D7" s="5">
        <f t="shared" si="2"/>
        <v>0.15000000000000002</v>
      </c>
      <c r="E7" s="5">
        <f t="shared" si="3"/>
        <v>1.6448536269514715</v>
      </c>
      <c r="G7" s="7">
        <f t="shared" si="4"/>
        <v>0.6084202374576817</v>
      </c>
      <c r="H7" s="5"/>
      <c r="I7" s="6">
        <f t="shared" ref="I7:J22" si="14">+I6</f>
        <v>0.19990000000000002</v>
      </c>
      <c r="J7" s="6">
        <f t="shared" si="14"/>
        <v>0.8</v>
      </c>
      <c r="K7" s="4">
        <f t="shared" si="5"/>
        <v>7.3473682456455747E-2</v>
      </c>
      <c r="L7" s="4">
        <f t="shared" si="6"/>
        <v>0.59219733380774753</v>
      </c>
      <c r="N7" s="14">
        <f t="shared" si="7"/>
        <v>5.5475477916969842</v>
      </c>
      <c r="O7" s="8">
        <f t="shared" si="8"/>
        <v>1.8375262495233111</v>
      </c>
      <c r="Q7" s="39">
        <f t="shared" si="0"/>
        <v>5.5</v>
      </c>
      <c r="R7" s="8">
        <f t="shared" si="1"/>
        <v>5.5</v>
      </c>
      <c r="S7" s="40">
        <f t="shared" si="9"/>
        <v>5.5</v>
      </c>
      <c r="T7" s="14">
        <f t="shared" ref="T7:T23" si="15">+T6+0.05</f>
        <v>0.15000000000000002</v>
      </c>
      <c r="U7" s="5">
        <f t="shared" si="10"/>
        <v>1.0364333894937898</v>
      </c>
      <c r="V7">
        <f t="shared" si="11"/>
        <v>0.14999999999999991</v>
      </c>
    </row>
    <row r="8" spans="2:22" hidden="1">
      <c r="B8" s="6">
        <f t="shared" si="12"/>
        <v>0.05</v>
      </c>
      <c r="C8" s="6">
        <f t="shared" si="13"/>
        <v>0.2</v>
      </c>
      <c r="D8" s="5">
        <f t="shared" si="2"/>
        <v>0.2</v>
      </c>
      <c r="E8" s="5">
        <f t="shared" si="3"/>
        <v>1.6448536269514715</v>
      </c>
      <c r="G8" s="7">
        <f t="shared" si="4"/>
        <v>0.80323239337855679</v>
      </c>
      <c r="H8" s="5"/>
      <c r="I8" s="6">
        <f t="shared" si="14"/>
        <v>0.19990000000000002</v>
      </c>
      <c r="J8" s="6">
        <f t="shared" si="14"/>
        <v>0.8</v>
      </c>
      <c r="K8" s="4">
        <f t="shared" si="5"/>
        <v>4.9963166117395374E-2</v>
      </c>
      <c r="L8" s="4">
        <f t="shared" si="6"/>
        <v>0.51531117067028043</v>
      </c>
      <c r="N8" s="14">
        <f t="shared" si="7"/>
        <v>9.6960725782825854</v>
      </c>
      <c r="O8" s="8">
        <f t="shared" si="8"/>
        <v>2.2327463914249943</v>
      </c>
      <c r="Q8" s="39">
        <f t="shared" si="0"/>
        <v>9.6999999999999993</v>
      </c>
      <c r="R8" s="8">
        <f t="shared" si="1"/>
        <v>9.6999999999999993</v>
      </c>
      <c r="S8" s="40">
        <f t="shared" si="9"/>
        <v>9.6999999999999993</v>
      </c>
      <c r="T8" s="14">
        <f t="shared" si="15"/>
        <v>0.2</v>
      </c>
      <c r="U8" s="5">
        <f t="shared" si="10"/>
        <v>0.84162123357291474</v>
      </c>
      <c r="V8">
        <f t="shared" si="11"/>
        <v>0.19999999999999984</v>
      </c>
    </row>
    <row r="9" spans="2:22" hidden="1">
      <c r="B9" s="6">
        <f t="shared" si="12"/>
        <v>0.05</v>
      </c>
      <c r="C9" s="6">
        <f t="shared" si="13"/>
        <v>0.25</v>
      </c>
      <c r="D9" s="5">
        <f t="shared" si="2"/>
        <v>0.25</v>
      </c>
      <c r="E9" s="5">
        <f t="shared" si="3"/>
        <v>1.6448536269514715</v>
      </c>
      <c r="G9" s="7">
        <f t="shared" si="4"/>
        <v>0.9703638767553896</v>
      </c>
      <c r="H9" s="5"/>
      <c r="I9" s="6">
        <f t="shared" si="14"/>
        <v>0.19990000000000002</v>
      </c>
      <c r="J9" s="6">
        <f t="shared" si="14"/>
        <v>0.8</v>
      </c>
      <c r="K9" s="4">
        <f t="shared" si="5"/>
        <v>3.49666569071772E-2</v>
      </c>
      <c r="L9" s="4">
        <f t="shared" si="6"/>
        <v>0.44878064589333483</v>
      </c>
      <c r="N9" s="14">
        <f t="shared" si="7"/>
        <v>15.756260196453789</v>
      </c>
      <c r="O9" s="8">
        <f t="shared" si="8"/>
        <v>2.6389045206863284</v>
      </c>
      <c r="Q9" s="39">
        <f t="shared" si="0"/>
        <v>16</v>
      </c>
      <c r="R9" s="8">
        <f t="shared" si="1"/>
        <v>16</v>
      </c>
      <c r="S9" s="40">
        <f t="shared" si="9"/>
        <v>16</v>
      </c>
      <c r="T9" s="14">
        <f t="shared" si="15"/>
        <v>0.25</v>
      </c>
      <c r="U9" s="5">
        <f t="shared" si="10"/>
        <v>0.67448975019608193</v>
      </c>
      <c r="V9">
        <f t="shared" si="11"/>
        <v>0.24999999999999989</v>
      </c>
    </row>
    <row r="10" spans="2:22" hidden="1">
      <c r="B10" s="6">
        <f t="shared" si="12"/>
        <v>0.05</v>
      </c>
      <c r="C10" s="6">
        <f t="shared" si="13"/>
        <v>0.3</v>
      </c>
      <c r="D10" s="5">
        <f t="shared" si="2"/>
        <v>0.3</v>
      </c>
      <c r="E10" s="5">
        <f t="shared" si="3"/>
        <v>1.6448536269514715</v>
      </c>
      <c r="G10" s="7">
        <f t="shared" si="4"/>
        <v>1.1204531142434306</v>
      </c>
      <c r="H10" s="5"/>
      <c r="I10" s="6">
        <f t="shared" si="14"/>
        <v>0.19990000000000002</v>
      </c>
      <c r="J10" s="6">
        <f t="shared" si="14"/>
        <v>0.8</v>
      </c>
      <c r="K10" s="4">
        <f t="shared" si="5"/>
        <v>2.4856128791396582E-2</v>
      </c>
      <c r="L10" s="4">
        <f t="shared" si="6"/>
        <v>0.3901869235554975</v>
      </c>
      <c r="N10" s="14">
        <f t="shared" si="7"/>
        <v>24.521443987578976</v>
      </c>
      <c r="O10" s="8">
        <f t="shared" si="8"/>
        <v>3.0662432470605445</v>
      </c>
      <c r="Q10" s="39">
        <f t="shared" si="0"/>
        <v>25</v>
      </c>
      <c r="R10" s="8">
        <f t="shared" si="1"/>
        <v>25</v>
      </c>
      <c r="S10" s="40">
        <f t="shared" si="9"/>
        <v>25</v>
      </c>
      <c r="T10" s="14">
        <f t="shared" si="15"/>
        <v>0.3</v>
      </c>
      <c r="U10" s="5">
        <f t="shared" si="10"/>
        <v>0.52440051270804078</v>
      </c>
      <c r="V10">
        <f t="shared" si="11"/>
        <v>0.29999999999999993</v>
      </c>
    </row>
    <row r="11" spans="2:22" hidden="1">
      <c r="B11" s="6">
        <f t="shared" si="12"/>
        <v>0.05</v>
      </c>
      <c r="C11" s="6">
        <f t="shared" si="13"/>
        <v>0.35</v>
      </c>
      <c r="D11" s="5">
        <f t="shared" si="2"/>
        <v>0.35</v>
      </c>
      <c r="E11" s="5">
        <f t="shared" si="3"/>
        <v>1.6448536269514715</v>
      </c>
      <c r="G11" s="7">
        <f t="shared" si="4"/>
        <v>1.2595331605439037</v>
      </c>
      <c r="H11" s="5"/>
      <c r="I11" s="6">
        <f t="shared" si="14"/>
        <v>0.19990000000000002</v>
      </c>
      <c r="J11" s="6">
        <f t="shared" si="14"/>
        <v>0.8</v>
      </c>
      <c r="K11" s="4">
        <f t="shared" si="5"/>
        <v>1.7798038676154E-2</v>
      </c>
      <c r="L11" s="4">
        <f t="shared" si="6"/>
        <v>0.33800575596490812</v>
      </c>
      <c r="N11" s="14">
        <f t="shared" si="7"/>
        <v>37.176188845997842</v>
      </c>
      <c r="O11" s="8">
        <f t="shared" si="8"/>
        <v>3.5237760656194905</v>
      </c>
      <c r="Q11" s="39">
        <f t="shared" si="0"/>
        <v>37</v>
      </c>
      <c r="R11" s="8">
        <f t="shared" si="1"/>
        <v>37</v>
      </c>
      <c r="S11" s="40">
        <f t="shared" si="9"/>
        <v>37</v>
      </c>
      <c r="T11" s="14">
        <f t="shared" si="15"/>
        <v>0.35</v>
      </c>
      <c r="U11" s="5">
        <f t="shared" si="10"/>
        <v>0.38532046640756784</v>
      </c>
      <c r="V11">
        <f t="shared" si="11"/>
        <v>0.34999999999999987</v>
      </c>
    </row>
    <row r="12" spans="2:22" hidden="1">
      <c r="B12" s="6">
        <f t="shared" si="12"/>
        <v>0.05</v>
      </c>
      <c r="C12" s="6">
        <f t="shared" si="13"/>
        <v>0.39999999999999997</v>
      </c>
      <c r="D12" s="5">
        <f t="shared" si="2"/>
        <v>0.39999999999999997</v>
      </c>
      <c r="E12" s="5">
        <f t="shared" si="3"/>
        <v>1.6448536269514715</v>
      </c>
      <c r="G12" s="7">
        <f t="shared" si="4"/>
        <v>1.3915065238156714</v>
      </c>
      <c r="H12" s="5"/>
      <c r="I12" s="6">
        <f t="shared" si="14"/>
        <v>0.19990000000000002</v>
      </c>
      <c r="J12" s="6">
        <f t="shared" si="14"/>
        <v>0.8</v>
      </c>
      <c r="K12" s="4">
        <f t="shared" si="5"/>
        <v>1.2758489122032172E-2</v>
      </c>
      <c r="L12" s="4">
        <f t="shared" si="6"/>
        <v>0.29119902703559969</v>
      </c>
      <c r="N12" s="14">
        <f t="shared" si="7"/>
        <v>55.527466120931798</v>
      </c>
      <c r="O12" s="8">
        <f t="shared" si="8"/>
        <v>4.0209030785841557</v>
      </c>
      <c r="Q12" s="39">
        <f t="shared" si="0"/>
        <v>56</v>
      </c>
      <c r="R12" s="8">
        <f t="shared" si="1"/>
        <v>56</v>
      </c>
      <c r="S12" s="40">
        <f t="shared" si="9"/>
        <v>56</v>
      </c>
      <c r="T12" s="14">
        <f t="shared" si="15"/>
        <v>0.39999999999999997</v>
      </c>
      <c r="U12" s="5">
        <f t="shared" si="10"/>
        <v>0.25334710313580006</v>
      </c>
      <c r="V12">
        <f t="shared" si="11"/>
        <v>0.39999999999999991</v>
      </c>
    </row>
    <row r="13" spans="2:22" hidden="1">
      <c r="B13" s="6">
        <f t="shared" si="12"/>
        <v>0.05</v>
      </c>
      <c r="C13" s="6">
        <f t="shared" si="13"/>
        <v>0.44999999999999996</v>
      </c>
      <c r="D13" s="5">
        <f t="shared" si="2"/>
        <v>0.44999999999999996</v>
      </c>
      <c r="E13" s="5">
        <f t="shared" si="3"/>
        <v>1.6448536269514715</v>
      </c>
      <c r="G13" s="7">
        <f t="shared" si="4"/>
        <v>1.5191922800963973</v>
      </c>
      <c r="H13" s="5"/>
      <c r="I13" s="6">
        <f t="shared" si="14"/>
        <v>0.19990000000000002</v>
      </c>
      <c r="J13" s="6">
        <f t="shared" si="14"/>
        <v>0.8</v>
      </c>
      <c r="K13" s="4">
        <f t="shared" si="5"/>
        <v>9.1086700634592406E-3</v>
      </c>
      <c r="L13" s="4">
        <f t="shared" si="6"/>
        <v>0.24902185455555575</v>
      </c>
      <c r="N13" s="14">
        <f t="shared" si="7"/>
        <v>82.405296398084971</v>
      </c>
      <c r="O13" s="8">
        <f t="shared" si="8"/>
        <v>4.5685336089328201</v>
      </c>
      <c r="Q13" s="39">
        <f t="shared" si="0"/>
        <v>82</v>
      </c>
      <c r="R13" s="8">
        <f t="shared" si="1"/>
        <v>82</v>
      </c>
      <c r="S13" s="40">
        <f t="shared" si="9"/>
        <v>82</v>
      </c>
      <c r="T13" s="14">
        <f t="shared" si="15"/>
        <v>0.44999999999999996</v>
      </c>
      <c r="U13" s="5">
        <f t="shared" si="10"/>
        <v>0.12566134685507416</v>
      </c>
      <c r="V13">
        <f t="shared" si="11"/>
        <v>0.44999999999999996</v>
      </c>
    </row>
    <row r="14" spans="2:22" hidden="1">
      <c r="B14" s="6">
        <f t="shared" si="12"/>
        <v>0.05</v>
      </c>
      <c r="C14" s="6">
        <f t="shared" si="13"/>
        <v>0.49999999999999994</v>
      </c>
      <c r="D14" s="5">
        <f t="shared" si="2"/>
        <v>0.49999999999999994</v>
      </c>
      <c r="E14" s="5">
        <f t="shared" si="3"/>
        <v>1.6448536269514715</v>
      </c>
      <c r="G14" s="7">
        <f t="shared" si="4"/>
        <v>1.6448536269514715</v>
      </c>
      <c r="H14" s="5"/>
      <c r="I14" s="6">
        <f t="shared" si="14"/>
        <v>0.19990000000000002</v>
      </c>
      <c r="J14" s="6">
        <f t="shared" si="14"/>
        <v>0.8</v>
      </c>
      <c r="K14" s="4">
        <f t="shared" si="5"/>
        <v>6.4443104470567241E-3</v>
      </c>
      <c r="L14" s="4">
        <f t="shared" si="6"/>
        <v>0.21092021283242698</v>
      </c>
      <c r="N14" s="14">
        <f t="shared" si="7"/>
        <v>122.38473825142945</v>
      </c>
      <c r="O14" s="8">
        <f t="shared" si="8"/>
        <v>5.1802516022330103</v>
      </c>
      <c r="Q14" s="39">
        <f t="shared" si="0"/>
        <v>120</v>
      </c>
      <c r="R14" s="8">
        <f t="shared" si="1"/>
        <v>120</v>
      </c>
      <c r="S14" s="40">
        <f t="shared" si="9"/>
        <v>120</v>
      </c>
      <c r="T14" s="14">
        <f t="shared" si="15"/>
        <v>0.49999999999999994</v>
      </c>
      <c r="U14" s="5">
        <f t="shared" si="10"/>
        <v>0</v>
      </c>
      <c r="V14">
        <f t="shared" si="11"/>
        <v>0.5</v>
      </c>
    </row>
    <row r="15" spans="2:22" hidden="1">
      <c r="B15" s="6">
        <f t="shared" si="12"/>
        <v>0.05</v>
      </c>
      <c r="C15" s="6">
        <f t="shared" si="13"/>
        <v>0.54999999999999993</v>
      </c>
      <c r="D15" s="5">
        <f t="shared" si="2"/>
        <v>0.54999999999999993</v>
      </c>
      <c r="E15" s="5">
        <f t="shared" si="3"/>
        <v>1.6448536269514715</v>
      </c>
      <c r="G15" s="7">
        <f t="shared" si="4"/>
        <v>1.7705149738065453</v>
      </c>
      <c r="H15" s="5"/>
      <c r="I15" s="6">
        <f t="shared" si="14"/>
        <v>0.19990000000000002</v>
      </c>
      <c r="J15" s="6">
        <f t="shared" si="14"/>
        <v>0.8</v>
      </c>
      <c r="K15" s="4">
        <f t="shared" si="5"/>
        <v>4.4942206999582044E-3</v>
      </c>
      <c r="L15" s="4">
        <f t="shared" si="6"/>
        <v>0.17647207869213902</v>
      </c>
      <c r="N15" s="14">
        <f t="shared" si="7"/>
        <v>183.14991904043839</v>
      </c>
      <c r="O15" s="8">
        <f t="shared" si="8"/>
        <v>5.8738774756887775</v>
      </c>
      <c r="Q15" s="39">
        <f t="shared" si="0"/>
        <v>180</v>
      </c>
      <c r="R15" s="8">
        <f t="shared" si="1"/>
        <v>180</v>
      </c>
      <c r="S15" s="40">
        <f t="shared" si="9"/>
        <v>180</v>
      </c>
      <c r="T15" s="14">
        <f t="shared" si="15"/>
        <v>0.54999999999999993</v>
      </c>
      <c r="U15" s="5">
        <f t="shared" si="10"/>
        <v>-0.12566134685507385</v>
      </c>
      <c r="V15">
        <f t="shared" si="11"/>
        <v>0.54999999999999993</v>
      </c>
    </row>
    <row r="16" spans="2:22" hidden="1">
      <c r="B16" s="6">
        <f t="shared" si="12"/>
        <v>0.05</v>
      </c>
      <c r="C16" s="6">
        <f t="shared" si="13"/>
        <v>0.6</v>
      </c>
      <c r="D16" s="5">
        <f t="shared" si="2"/>
        <v>0.6</v>
      </c>
      <c r="E16" s="5">
        <f t="shared" si="3"/>
        <v>1.6448536269514715</v>
      </c>
      <c r="G16" s="7">
        <f t="shared" si="4"/>
        <v>1.8982007300872712</v>
      </c>
      <c r="H16" s="5"/>
      <c r="I16" s="6">
        <f t="shared" si="14"/>
        <v>0.19990000000000002</v>
      </c>
      <c r="J16" s="6">
        <f t="shared" si="14"/>
        <v>0.8</v>
      </c>
      <c r="K16" s="4">
        <f t="shared" si="5"/>
        <v>3.0702846299610368E-3</v>
      </c>
      <c r="L16" s="4">
        <f t="shared" si="6"/>
        <v>0.14535177103994626</v>
      </c>
      <c r="N16" s="14">
        <f t="shared" si="7"/>
        <v>278.22205684442179</v>
      </c>
      <c r="O16" s="8">
        <f t="shared" si="8"/>
        <v>6.6738755294461924</v>
      </c>
      <c r="Q16" s="39">
        <f t="shared" si="0"/>
        <v>280</v>
      </c>
      <c r="R16" s="8">
        <f t="shared" si="1"/>
        <v>280</v>
      </c>
      <c r="S16" s="40">
        <f t="shared" si="9"/>
        <v>280</v>
      </c>
      <c r="T16" s="14">
        <f t="shared" si="15"/>
        <v>0.6</v>
      </c>
      <c r="U16" s="5">
        <f t="shared" si="10"/>
        <v>-0.25334710313579978</v>
      </c>
      <c r="V16">
        <f t="shared" si="11"/>
        <v>0.6</v>
      </c>
    </row>
    <row r="17" spans="1:22" hidden="1">
      <c r="B17" s="6">
        <f t="shared" si="12"/>
        <v>0.05</v>
      </c>
      <c r="C17" s="6">
        <f t="shared" si="13"/>
        <v>0.65</v>
      </c>
      <c r="D17" s="5">
        <f t="shared" si="2"/>
        <v>0.65</v>
      </c>
      <c r="E17" s="5">
        <f t="shared" si="3"/>
        <v>1.6448536269514715</v>
      </c>
      <c r="G17" s="7">
        <f t="shared" si="4"/>
        <v>2.0301740933590393</v>
      </c>
      <c r="H17" s="5"/>
      <c r="I17" s="6">
        <f t="shared" si="14"/>
        <v>0.19990000000000002</v>
      </c>
      <c r="J17" s="6">
        <f t="shared" si="14"/>
        <v>0.8</v>
      </c>
      <c r="K17" s="4">
        <f t="shared" si="5"/>
        <v>2.0384304257969567E-3</v>
      </c>
      <c r="L17" s="4">
        <f t="shared" si="6"/>
        <v>0.11730783365700016</v>
      </c>
      <c r="N17" s="14">
        <f t="shared" si="7"/>
        <v>432.80889506684969</v>
      </c>
      <c r="O17" s="8">
        <f t="shared" si="8"/>
        <v>7.6154120360426454</v>
      </c>
      <c r="Q17" s="39">
        <f t="shared" si="0"/>
        <v>430</v>
      </c>
      <c r="R17" s="8">
        <f t="shared" si="1"/>
        <v>430</v>
      </c>
      <c r="S17" s="40">
        <f t="shared" si="9"/>
        <v>430</v>
      </c>
      <c r="T17" s="14">
        <f t="shared" si="15"/>
        <v>0.65</v>
      </c>
      <c r="U17" s="5">
        <f t="shared" si="10"/>
        <v>-0.38532046640756784</v>
      </c>
      <c r="V17">
        <f t="shared" si="11"/>
        <v>0.65000000000000013</v>
      </c>
    </row>
    <row r="18" spans="1:22" hidden="1">
      <c r="B18" s="6">
        <f t="shared" si="12"/>
        <v>0.05</v>
      </c>
      <c r="C18" s="6">
        <f t="shared" si="13"/>
        <v>0.70000000000000007</v>
      </c>
      <c r="D18" s="5">
        <f t="shared" si="2"/>
        <v>0.70000000000000007</v>
      </c>
      <c r="E18" s="5">
        <f t="shared" si="3"/>
        <v>1.6448536269514715</v>
      </c>
      <c r="G18" s="7">
        <f t="shared" si="4"/>
        <v>2.1692541396595124</v>
      </c>
      <c r="H18" s="5"/>
      <c r="I18" s="6">
        <f t="shared" si="14"/>
        <v>0.19990000000000002</v>
      </c>
      <c r="J18" s="6">
        <f t="shared" si="14"/>
        <v>0.8</v>
      </c>
      <c r="K18" s="4">
        <f t="shared" si="5"/>
        <v>1.3009472086657665E-3</v>
      </c>
      <c r="L18" s="4">
        <f t="shared" si="6"/>
        <v>9.2149704141477565E-2</v>
      </c>
      <c r="N18" s="14">
        <f t="shared" si="7"/>
        <v>697.48900237174621</v>
      </c>
      <c r="O18" s="8">
        <f t="shared" si="8"/>
        <v>8.7517540195687538</v>
      </c>
      <c r="Q18" s="39">
        <f t="shared" si="0"/>
        <v>700</v>
      </c>
      <c r="R18" s="8">
        <f t="shared" si="1"/>
        <v>700</v>
      </c>
      <c r="S18" s="40">
        <f t="shared" si="9"/>
        <v>700</v>
      </c>
      <c r="T18" s="14">
        <f t="shared" si="15"/>
        <v>0.70000000000000007</v>
      </c>
      <c r="U18" s="5">
        <f t="shared" si="10"/>
        <v>-0.524400512708041</v>
      </c>
      <c r="V18">
        <f t="shared" si="11"/>
        <v>0.70000000000000018</v>
      </c>
    </row>
    <row r="19" spans="1:22" hidden="1">
      <c r="B19" s="6">
        <f t="shared" si="12"/>
        <v>0.05</v>
      </c>
      <c r="C19" s="6">
        <f t="shared" si="13"/>
        <v>0.75000000000000011</v>
      </c>
      <c r="D19" s="5">
        <f t="shared" si="2"/>
        <v>0.75000000000000011</v>
      </c>
      <c r="E19" s="5">
        <f t="shared" si="3"/>
        <v>1.6448536269514715</v>
      </c>
      <c r="G19" s="7">
        <f t="shared" si="4"/>
        <v>2.3193433771475536</v>
      </c>
      <c r="H19" s="5"/>
      <c r="I19" s="6">
        <f t="shared" si="14"/>
        <v>0.19990000000000002</v>
      </c>
      <c r="J19" s="6">
        <f t="shared" si="14"/>
        <v>0.8</v>
      </c>
      <c r="K19" s="4">
        <f t="shared" si="5"/>
        <v>7.8527426694806736E-4</v>
      </c>
      <c r="L19" s="4">
        <f t="shared" si="6"/>
        <v>6.9741082446857866E-2</v>
      </c>
      <c r="N19" s="14">
        <f t="shared" si="7"/>
        <v>1184.0370011205982</v>
      </c>
      <c r="O19" s="8">
        <f t="shared" si="8"/>
        <v>10.168994918944017</v>
      </c>
      <c r="Q19" s="39">
        <f t="shared" si="0"/>
        <v>1200</v>
      </c>
      <c r="R19" s="8">
        <f t="shared" si="1"/>
        <v>1200</v>
      </c>
      <c r="S19" s="40">
        <f t="shared" si="9"/>
        <v>1200</v>
      </c>
      <c r="T19" s="14">
        <f t="shared" si="15"/>
        <v>0.75000000000000011</v>
      </c>
      <c r="U19" s="5">
        <f t="shared" si="10"/>
        <v>-0.67448975019608215</v>
      </c>
      <c r="V19">
        <f t="shared" si="11"/>
        <v>0.75000000000000022</v>
      </c>
    </row>
    <row r="20" spans="1:22" hidden="1">
      <c r="B20" s="6">
        <f t="shared" si="12"/>
        <v>0.05</v>
      </c>
      <c r="C20" s="6">
        <f>+C19+0.05</f>
        <v>0.80000000000000016</v>
      </c>
      <c r="D20" s="5">
        <f t="shared" si="2"/>
        <v>0.80000000000000016</v>
      </c>
      <c r="E20" s="5">
        <f>NORMSINV(1-B20)</f>
        <v>1.6448536269514715</v>
      </c>
      <c r="G20" s="7">
        <f>-NORMSINV(1-C20)+E20</f>
        <v>2.4864748605243854</v>
      </c>
      <c r="H20" s="5"/>
      <c r="I20" s="6">
        <f t="shared" si="14"/>
        <v>0.19990000000000002</v>
      </c>
      <c r="J20" s="6">
        <f t="shared" si="14"/>
        <v>0.8</v>
      </c>
      <c r="K20" s="4">
        <f>NORMDIST(NORMSINV(I20),G20,1,TRUE)</f>
        <v>4.3664816255303292E-4</v>
      </c>
      <c r="L20" s="4">
        <f>NORMDIST(NORMSINV(J20),G20,1,TRUE)</f>
        <v>5.0000000000000225E-2</v>
      </c>
      <c r="N20" s="14">
        <f>+(1-L20)/(1-J20)/K20*I20</f>
        <v>2174.5768823306935</v>
      </c>
      <c r="O20" s="8">
        <f t="shared" si="8"/>
        <v>12.018833292262482</v>
      </c>
      <c r="Q20" s="39">
        <f t="shared" si="0"/>
        <v>2200</v>
      </c>
      <c r="R20" s="8">
        <f t="shared" si="1"/>
        <v>2200</v>
      </c>
      <c r="S20" s="40">
        <f t="shared" si="9"/>
        <v>2200</v>
      </c>
      <c r="T20" s="14">
        <f t="shared" si="15"/>
        <v>0.80000000000000016</v>
      </c>
      <c r="U20" s="5">
        <f t="shared" si="10"/>
        <v>-0.84162123357291396</v>
      </c>
      <c r="V20">
        <f t="shared" si="11"/>
        <v>0.79999999999999993</v>
      </c>
    </row>
    <row r="21" spans="1:22" hidden="1">
      <c r="B21" s="6">
        <f t="shared" si="12"/>
        <v>0.05</v>
      </c>
      <c r="C21" s="6">
        <f>+C20+0.05</f>
        <v>0.8500000000000002</v>
      </c>
      <c r="D21" s="5">
        <f t="shared" si="2"/>
        <v>0.8500000000000002</v>
      </c>
      <c r="E21" s="5">
        <f>NORMSINV(1-B21)</f>
        <v>1.6448536269514715</v>
      </c>
      <c r="G21" s="7">
        <f>-NORMSINV(1-C21)+E21</f>
        <v>2.6812870164452609</v>
      </c>
      <c r="H21" s="5"/>
      <c r="I21" s="6">
        <f t="shared" si="14"/>
        <v>0.19990000000000002</v>
      </c>
      <c r="J21" s="6">
        <f t="shared" si="14"/>
        <v>0.8</v>
      </c>
      <c r="K21" s="4">
        <f>NORMDIST(NORMSINV(I21),G21,1,TRUE)</f>
        <v>2.1313206391287176E-4</v>
      </c>
      <c r="L21" s="4">
        <f>NORMDIST(NORMSINV(J21),G21,1,TRUE)</f>
        <v>3.2908660017955969E-2</v>
      </c>
      <c r="N21" s="14">
        <f>+(1-L21)/(1-J21)/K21*I21</f>
        <v>4535.2528219648921</v>
      </c>
      <c r="O21" s="8">
        <f>+EXP(G21)</f>
        <v>14.60387663544897</v>
      </c>
      <c r="Q21" s="39">
        <f t="shared" si="0"/>
        <v>4500</v>
      </c>
      <c r="R21" s="8">
        <f t="shared" si="1"/>
        <v>4500</v>
      </c>
      <c r="S21" s="40">
        <f t="shared" si="9"/>
        <v>4500</v>
      </c>
      <c r="T21" s="14">
        <f t="shared" si="15"/>
        <v>0.8500000000000002</v>
      </c>
      <c r="U21" s="5">
        <f t="shared" si="10"/>
        <v>-1.0364333894937894</v>
      </c>
      <c r="V21">
        <f t="shared" si="11"/>
        <v>0.85</v>
      </c>
    </row>
    <row r="22" spans="1:22" hidden="1">
      <c r="B22" s="6">
        <f t="shared" si="12"/>
        <v>0.05</v>
      </c>
      <c r="C22" s="6">
        <f>+C21+0.05</f>
        <v>0.90000000000000024</v>
      </c>
      <c r="D22" s="5">
        <f t="shared" si="2"/>
        <v>0.90000000000000024</v>
      </c>
      <c r="E22" s="5">
        <f>NORMSINV(1-B22)</f>
        <v>1.6448536269514715</v>
      </c>
      <c r="G22" s="7">
        <f>-NORMSINV(1-C22)+E22</f>
        <v>2.9264051924960741</v>
      </c>
      <c r="H22" s="5"/>
      <c r="I22" s="6">
        <f t="shared" si="14"/>
        <v>0.19990000000000002</v>
      </c>
      <c r="J22" s="6">
        <f t="shared" si="14"/>
        <v>0.8</v>
      </c>
      <c r="K22" s="4">
        <f>NORMDIST(NORMSINV(I22),G22,1,TRUE)</f>
        <v>8.2154012418989339E-5</v>
      </c>
      <c r="L22" s="4">
        <f>NORMDIST(NORMSINV(J22),G22,1,TRUE)</f>
        <v>1.8544457721101457E-2</v>
      </c>
      <c r="N22" s="14">
        <f>+(1-L22)/(1-J22)/K22*I22</f>
        <v>11940.558782507087</v>
      </c>
      <c r="O22" s="8">
        <f t="shared" si="8"/>
        <v>18.660429130388867</v>
      </c>
      <c r="Q22" s="39">
        <f t="shared" si="0"/>
        <v>12000</v>
      </c>
      <c r="R22" s="8">
        <f t="shared" si="1"/>
        <v>12000</v>
      </c>
      <c r="S22" s="40">
        <f t="shared" si="9"/>
        <v>12000</v>
      </c>
      <c r="T22" s="14">
        <f t="shared" si="15"/>
        <v>0.90000000000000024</v>
      </c>
      <c r="U22" s="5">
        <f t="shared" si="10"/>
        <v>-1.2815515655446028</v>
      </c>
      <c r="V22">
        <f t="shared" si="11"/>
        <v>0.90000000000000047</v>
      </c>
    </row>
    <row r="23" spans="1:22" hidden="1">
      <c r="B23" s="6">
        <f t="shared" si="12"/>
        <v>0.05</v>
      </c>
      <c r="C23" s="6">
        <f>+C22+0.05</f>
        <v>0.95000000000000029</v>
      </c>
      <c r="D23" s="5">
        <f t="shared" si="2"/>
        <v>0.95000000000000029</v>
      </c>
      <c r="E23" s="5">
        <f>NORMSINV(1-B23)</f>
        <v>1.6448536269514715</v>
      </c>
      <c r="G23" s="7">
        <f>-NORMSINV(1-C23)+E23</f>
        <v>3.2897072539029466</v>
      </c>
      <c r="H23" s="5"/>
      <c r="I23" s="6">
        <f>+I22</f>
        <v>0.19990000000000002</v>
      </c>
      <c r="J23" s="6">
        <f>+J22</f>
        <v>0.8</v>
      </c>
      <c r="K23" s="4">
        <f>NORMDIST(NORMSINV(I23),G23,1,TRUE)</f>
        <v>1.800562724431369E-5</v>
      </c>
      <c r="L23" s="4">
        <f>NORMDIST(NORMSINV(J23),G23,1,TRUE)</f>
        <v>7.1808681657437477E-3</v>
      </c>
      <c r="N23" s="14">
        <f>+(1-L23)/(1-J23)/K23*I23</f>
        <v>55111.810813573422</v>
      </c>
      <c r="O23" s="8">
        <f t="shared" si="8"/>
        <v>26.83500666243776</v>
      </c>
      <c r="Q23" s="39">
        <f t="shared" si="0"/>
        <v>55000</v>
      </c>
      <c r="R23" s="8">
        <f>IF(N23&gt;10,ROUND(N23,2-LEN(INT(N23))),ROUND(N23,1))</f>
        <v>55000</v>
      </c>
      <c r="S23" s="40">
        <f t="shared" si="9"/>
        <v>55000</v>
      </c>
      <c r="T23" s="14">
        <f t="shared" si="15"/>
        <v>0.95000000000000029</v>
      </c>
      <c r="U23" s="5">
        <f t="shared" si="10"/>
        <v>-1.6448536269514753</v>
      </c>
      <c r="V23">
        <f t="shared" si="11"/>
        <v>0.95000000000000029</v>
      </c>
    </row>
    <row r="24" spans="1:22" hidden="1">
      <c r="B24" s="6">
        <f t="shared" si="12"/>
        <v>0.05</v>
      </c>
      <c r="C24" s="6">
        <f>+C23+0.05</f>
        <v>1.0000000000000002</v>
      </c>
      <c r="D24" s="5"/>
      <c r="E24" s="5"/>
      <c r="G24" s="7"/>
      <c r="H24" s="5"/>
      <c r="I24" s="6"/>
      <c r="J24" s="6"/>
      <c r="N24" s="14"/>
      <c r="O24" s="8"/>
      <c r="T24" s="14">
        <v>0.99</v>
      </c>
      <c r="U24" s="5">
        <f t="shared" si="10"/>
        <v>-2.3263478740408408</v>
      </c>
      <c r="V24">
        <f t="shared" si="11"/>
        <v>0.99</v>
      </c>
    </row>
    <row r="25" spans="1:22" hidden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22" hidden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22" hidden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22" hidden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22" hidden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22" hidden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22" hidden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22" hidden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idden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idden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idden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idden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idden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idden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idden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idden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hidden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hidden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idden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idden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hidden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idden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idden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idden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hidden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hidden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hidden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hidden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hidden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hidden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hidden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hidden="1">
      <c r="B56" s="6"/>
      <c r="C56"/>
      <c r="D56"/>
      <c r="E56"/>
      <c r="F56"/>
      <c r="H56"/>
      <c r="I56"/>
      <c r="J56"/>
      <c r="N56" s="8"/>
      <c r="O56" s="8"/>
    </row>
    <row r="57" spans="1:18" hidden="1">
      <c r="B57" s="6"/>
      <c r="C57"/>
      <c r="D57"/>
      <c r="E57"/>
      <c r="F57"/>
      <c r="G57"/>
      <c r="H57"/>
      <c r="I57"/>
      <c r="J57"/>
      <c r="N57" s="8"/>
      <c r="O57" s="8"/>
    </row>
    <row r="58" spans="1:18" hidden="1">
      <c r="B58" s="6"/>
      <c r="C58" s="7"/>
      <c r="D58" s="7"/>
      <c r="E58"/>
      <c r="F58"/>
      <c r="G58"/>
      <c r="H58"/>
      <c r="I58"/>
      <c r="J58"/>
      <c r="N58" s="8"/>
      <c r="O58" s="8"/>
    </row>
    <row r="59" spans="1:18" ht="6" customHeight="1">
      <c r="B59" s="6"/>
      <c r="C59" s="7"/>
      <c r="D59" s="7"/>
      <c r="E59"/>
      <c r="F59"/>
      <c r="G59"/>
      <c r="H59"/>
      <c r="I59"/>
      <c r="J59"/>
      <c r="N59" s="8"/>
      <c r="O59" s="8"/>
    </row>
    <row r="60" spans="1:18" ht="15" customHeight="1">
      <c r="D60" s="88" t="s">
        <v>34</v>
      </c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</row>
    <row r="61" spans="1:18" ht="15" customHeight="1">
      <c r="D61" s="51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</row>
    <row r="62" spans="1:18" ht="15" customHeight="1">
      <c r="D62" s="88" t="s">
        <v>43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</row>
    <row r="63" spans="1:18" ht="6" customHeight="1"/>
    <row r="64" spans="1:18" ht="15" customHeight="1">
      <c r="C64" s="90" t="s">
        <v>72</v>
      </c>
      <c r="D64" s="91"/>
      <c r="F64" s="9" t="s">
        <v>30</v>
      </c>
      <c r="H64" s="9"/>
      <c r="I64" s="9"/>
      <c r="J64" s="9"/>
      <c r="K64" s="10"/>
      <c r="M64" s="59">
        <v>0.2</v>
      </c>
      <c r="O64" s="110" t="s">
        <v>74</v>
      </c>
      <c r="P64" s="111"/>
      <c r="Q64" s="111"/>
      <c r="R64" s="114"/>
    </row>
    <row r="65" spans="3:18" ht="15" customHeight="1">
      <c r="C65" s="92"/>
      <c r="D65" s="93"/>
      <c r="F65" s="9" t="s">
        <v>31</v>
      </c>
      <c r="H65" s="9"/>
      <c r="I65" s="9"/>
      <c r="J65" s="9"/>
      <c r="K65" s="10"/>
      <c r="M65" s="59">
        <v>0.2</v>
      </c>
      <c r="O65" s="111"/>
      <c r="P65" s="111"/>
      <c r="Q65" s="111"/>
      <c r="R65" s="114"/>
    </row>
    <row r="66" spans="3:18" ht="15" customHeight="1">
      <c r="C66" s="94"/>
      <c r="D66" s="95"/>
      <c r="F66" s="9" t="s">
        <v>15</v>
      </c>
      <c r="H66" s="9"/>
      <c r="I66" s="9"/>
      <c r="J66" s="9"/>
      <c r="K66" s="10"/>
      <c r="M66" s="62">
        <v>0.05</v>
      </c>
      <c r="O66" s="111"/>
      <c r="P66" s="111"/>
      <c r="Q66" s="111"/>
      <c r="R66" s="114"/>
    </row>
    <row r="67" spans="3:18" ht="6" customHeight="1">
      <c r="O67" s="111"/>
      <c r="P67" s="111"/>
      <c r="Q67" s="111"/>
      <c r="R67" s="111"/>
    </row>
    <row r="68" spans="3:18" ht="6" customHeight="1">
      <c r="K68" s="15"/>
    </row>
    <row r="69" spans="3:18" ht="45" customHeight="1">
      <c r="C69" s="112" t="str">
        <f>CONCATENATE("Detection rate for a ", $M66*100,"% false positive rate")</f>
        <v>Detection rate for a 5% false positive rate</v>
      </c>
      <c r="D69" s="112"/>
      <c r="E69" s="112" t="str">
        <f>+CONCATENATE("Odds Ratio comparing lowest ",M64*100, "%  with highest ", M65*100,"%")</f>
        <v>Odds Ratio comparing lowest 20%  with highest 20%</v>
      </c>
      <c r="F69" s="113"/>
      <c r="G69" s="112" t="s">
        <v>44</v>
      </c>
      <c r="H69" s="113"/>
      <c r="O69" s="4">
        <f t="shared" ref="O69:O89" si="16">+C4</f>
        <v>0</v>
      </c>
      <c r="P69" s="4" t="s">
        <v>17</v>
      </c>
    </row>
    <row r="70" spans="3:18" ht="6" customHeight="1">
      <c r="E70" s="5"/>
      <c r="O70" s="4">
        <f t="shared" si="16"/>
        <v>0.05</v>
      </c>
      <c r="P70" s="16" t="s">
        <v>18</v>
      </c>
      <c r="Q70" s="16" t="s">
        <v>8</v>
      </c>
      <c r="R70" s="14"/>
    </row>
    <row r="71" spans="3:18" ht="15" customHeight="1">
      <c r="C71" s="31">
        <f t="shared" ref="C71:C89" si="17">+IF(C5&gt;B5-0.01,C5,"")</f>
        <v>0.05</v>
      </c>
      <c r="E71" s="42">
        <f>+IF(C5&gt;B5-0.01,N5,"")</f>
        <v>0.99999999999999856</v>
      </c>
      <c r="G71" s="42">
        <f>+IF(C5&gt;B5-0.01,O5,"")</f>
        <v>1</v>
      </c>
      <c r="K71" s="4" t="str">
        <f>+CONCATENATE(" False positive rate of ",M66*100,"%")</f>
        <v xml:space="preserve"> False positive rate of 5%</v>
      </c>
      <c r="M71" s="12">
        <f>+C72</f>
        <v>0.1</v>
      </c>
      <c r="N71" s="8">
        <f>+E89</f>
        <v>55000</v>
      </c>
      <c r="O71" s="4">
        <f t="shared" si="16"/>
        <v>0.1</v>
      </c>
      <c r="P71" s="5">
        <f t="shared" ref="P71:P79" si="18">IF(C5&gt;B5-0.01,C5,P72)</f>
        <v>0.05</v>
      </c>
      <c r="Q71" s="7">
        <f t="shared" ref="Q71:Q79" si="19">IF(C5&gt;B5-0.01,N5,Q72)</f>
        <v>0.99999999999999856</v>
      </c>
      <c r="R71" s="14"/>
    </row>
    <row r="72" spans="3:18" ht="15" customHeight="1">
      <c r="C72" s="31">
        <f t="shared" si="17"/>
        <v>0.1</v>
      </c>
      <c r="E72" s="42">
        <f>+IF(C6&gt;B6-0.01,ROUND(N6,2-LEN(INT(N6))),"")</f>
        <v>2.8</v>
      </c>
      <c r="G72" s="42">
        <f>+IF(C6&gt;B6-0.01,ROUND(O6,2-LEN(INT(O6))),"")</f>
        <v>1.4</v>
      </c>
      <c r="K72" s="4" t="str">
        <f>+CONCATENATE(" Comparing lowest ",M64*100, "%  with highest ", M65*100,"%")</f>
        <v xml:space="preserve"> Comparing lowest 20%  with highest 20%</v>
      </c>
      <c r="M72" s="12">
        <f>+M71</f>
        <v>0.1</v>
      </c>
      <c r="N72" s="8">
        <f>+E87</f>
        <v>4500</v>
      </c>
      <c r="O72" s="4">
        <f t="shared" si="16"/>
        <v>0.15000000000000002</v>
      </c>
      <c r="P72" s="5">
        <f t="shared" si="18"/>
        <v>0.1</v>
      </c>
      <c r="Q72" s="7">
        <f t="shared" si="19"/>
        <v>2.7712435059421683</v>
      </c>
      <c r="R72" s="14"/>
    </row>
    <row r="73" spans="3:18" ht="15" customHeight="1">
      <c r="C73" s="31">
        <f t="shared" si="17"/>
        <v>0.15000000000000002</v>
      </c>
      <c r="E73" s="42">
        <f t="shared" ref="E73:E89" si="20">+IF(C7&gt;B7-0.01,ROUND(N7,2-LEN(INT(N7))),"")</f>
        <v>5.5</v>
      </c>
      <c r="G73" s="42">
        <f t="shared" ref="G73:G89" si="21">+IF(C7&gt;B7-0.01,ROUND(O7,2-LEN(INT(O7))),"")</f>
        <v>1.8</v>
      </c>
      <c r="K73" s="4" t="s">
        <v>12</v>
      </c>
      <c r="M73" s="12">
        <f>+M72</f>
        <v>0.1</v>
      </c>
      <c r="N73" s="8">
        <f>+E85</f>
        <v>1200</v>
      </c>
      <c r="O73" s="4">
        <f t="shared" si="16"/>
        <v>0.2</v>
      </c>
      <c r="P73" s="5">
        <f t="shared" si="18"/>
        <v>0.15000000000000002</v>
      </c>
      <c r="Q73" s="7">
        <f t="shared" si="19"/>
        <v>5.5475477916969842</v>
      </c>
      <c r="R73" s="14"/>
    </row>
    <row r="74" spans="3:18" ht="15" customHeight="1">
      <c r="C74" s="31">
        <f t="shared" si="17"/>
        <v>0.2</v>
      </c>
      <c r="E74" s="41">
        <f t="shared" si="20"/>
        <v>9.6999999999999993</v>
      </c>
      <c r="G74" s="42">
        <f t="shared" si="21"/>
        <v>2.2000000000000002</v>
      </c>
      <c r="K74" s="4" t="e">
        <f>+CONCATENATE(" OR =  ",#REF!)</f>
        <v>#REF!</v>
      </c>
      <c r="M74" s="4">
        <v>0.5</v>
      </c>
      <c r="N74" s="14" t="e">
        <f>+#REF!*1.3</f>
        <v>#REF!</v>
      </c>
      <c r="O74" s="4">
        <f t="shared" si="16"/>
        <v>0.25</v>
      </c>
      <c r="P74" s="5">
        <f t="shared" si="18"/>
        <v>0.2</v>
      </c>
      <c r="Q74" s="7">
        <f t="shared" si="19"/>
        <v>9.6960725782825854</v>
      </c>
      <c r="R74" s="14"/>
    </row>
    <row r="75" spans="3:18" ht="15" customHeight="1">
      <c r="C75" s="31">
        <f t="shared" si="17"/>
        <v>0.25</v>
      </c>
      <c r="E75" s="41">
        <f t="shared" si="20"/>
        <v>16</v>
      </c>
      <c r="G75" s="42">
        <f t="shared" si="21"/>
        <v>2.6</v>
      </c>
      <c r="O75" s="4">
        <f t="shared" si="16"/>
        <v>0.3</v>
      </c>
      <c r="P75" s="5">
        <f t="shared" si="18"/>
        <v>0.25</v>
      </c>
      <c r="Q75" s="7">
        <f t="shared" si="19"/>
        <v>15.756260196453789</v>
      </c>
      <c r="R75" s="14"/>
    </row>
    <row r="76" spans="3:18" ht="15" customHeight="1">
      <c r="C76" s="31">
        <f t="shared" si="17"/>
        <v>0.3</v>
      </c>
      <c r="E76" s="41">
        <f t="shared" si="20"/>
        <v>25</v>
      </c>
      <c r="G76" s="42">
        <f t="shared" si="21"/>
        <v>3.1</v>
      </c>
      <c r="O76" s="4">
        <f t="shared" si="16"/>
        <v>0.35</v>
      </c>
      <c r="P76" s="5">
        <f t="shared" si="18"/>
        <v>0.3</v>
      </c>
      <c r="Q76" s="7">
        <f t="shared" si="19"/>
        <v>24.521443987578976</v>
      </c>
      <c r="R76" s="14"/>
    </row>
    <row r="77" spans="3:18" ht="15" customHeight="1">
      <c r="C77" s="31">
        <f t="shared" si="17"/>
        <v>0.35</v>
      </c>
      <c r="E77" s="41">
        <f t="shared" si="20"/>
        <v>37</v>
      </c>
      <c r="G77" s="42">
        <f t="shared" si="21"/>
        <v>3.5</v>
      </c>
      <c r="O77" s="4">
        <f t="shared" si="16"/>
        <v>0.39999999999999997</v>
      </c>
      <c r="P77" s="5">
        <f t="shared" si="18"/>
        <v>0.35</v>
      </c>
      <c r="Q77" s="7">
        <f t="shared" si="19"/>
        <v>37.176188845997842</v>
      </c>
      <c r="R77" s="14"/>
    </row>
    <row r="78" spans="3:18" ht="15" customHeight="1">
      <c r="C78" s="31">
        <f t="shared" si="17"/>
        <v>0.39999999999999997</v>
      </c>
      <c r="E78" s="41">
        <f t="shared" si="20"/>
        <v>56</v>
      </c>
      <c r="G78" s="42">
        <f t="shared" si="21"/>
        <v>4</v>
      </c>
      <c r="O78" s="4">
        <f t="shared" si="16"/>
        <v>0.44999999999999996</v>
      </c>
      <c r="P78" s="5">
        <f t="shared" si="18"/>
        <v>0.39999999999999997</v>
      </c>
      <c r="Q78" s="7">
        <f t="shared" si="19"/>
        <v>55.527466120931798</v>
      </c>
      <c r="R78" s="14"/>
    </row>
    <row r="79" spans="3:18" ht="15" customHeight="1">
      <c r="C79" s="31">
        <f t="shared" si="17"/>
        <v>0.44999999999999996</v>
      </c>
      <c r="E79" s="41">
        <f t="shared" si="20"/>
        <v>82</v>
      </c>
      <c r="G79" s="42">
        <f t="shared" si="21"/>
        <v>4.5999999999999996</v>
      </c>
      <c r="O79" s="4">
        <f t="shared" si="16"/>
        <v>0.49999999999999994</v>
      </c>
      <c r="P79" s="5">
        <f t="shared" si="18"/>
        <v>0.44999999999999996</v>
      </c>
      <c r="Q79" s="7">
        <f t="shared" si="19"/>
        <v>82.405296398084971</v>
      </c>
      <c r="R79" s="14"/>
    </row>
    <row r="80" spans="3:18" ht="15" customHeight="1">
      <c r="C80" s="31">
        <f t="shared" si="17"/>
        <v>0.49999999999999994</v>
      </c>
      <c r="E80" s="41">
        <f t="shared" si="20"/>
        <v>120</v>
      </c>
      <c r="G80" s="42">
        <f t="shared" si="21"/>
        <v>5.2</v>
      </c>
      <c r="O80" s="4">
        <f t="shared" si="16"/>
        <v>0.54999999999999993</v>
      </c>
      <c r="P80" s="11">
        <f t="shared" ref="P80:P89" si="22">+C14</f>
        <v>0.49999999999999994</v>
      </c>
      <c r="Q80" s="8">
        <f t="shared" ref="Q80:Q89" si="23">+N14</f>
        <v>122.38473825142945</v>
      </c>
      <c r="R80" s="14"/>
    </row>
    <row r="81" spans="3:18" ht="15" customHeight="1">
      <c r="C81" s="31">
        <f t="shared" si="17"/>
        <v>0.54999999999999993</v>
      </c>
      <c r="E81" s="41">
        <f t="shared" si="20"/>
        <v>180</v>
      </c>
      <c r="G81" s="42">
        <f t="shared" si="21"/>
        <v>5.9</v>
      </c>
      <c r="O81" s="4">
        <f t="shared" si="16"/>
        <v>0.6</v>
      </c>
      <c r="P81" s="11">
        <f t="shared" si="22"/>
        <v>0.54999999999999993</v>
      </c>
      <c r="Q81" s="8">
        <f t="shared" si="23"/>
        <v>183.14991904043839</v>
      </c>
      <c r="R81" s="14"/>
    </row>
    <row r="82" spans="3:18" ht="15" customHeight="1">
      <c r="C82" s="31">
        <f t="shared" si="17"/>
        <v>0.6</v>
      </c>
      <c r="E82" s="34">
        <f t="shared" si="20"/>
        <v>280</v>
      </c>
      <c r="G82" s="42">
        <f t="shared" si="21"/>
        <v>6.7</v>
      </c>
      <c r="O82" s="4">
        <f t="shared" si="16"/>
        <v>0.65</v>
      </c>
      <c r="P82" s="11">
        <f t="shared" si="22"/>
        <v>0.6</v>
      </c>
      <c r="Q82" s="8">
        <f t="shared" si="23"/>
        <v>278.22205684442179</v>
      </c>
      <c r="R82" s="14"/>
    </row>
    <row r="83" spans="3:18" ht="15" customHeight="1">
      <c r="C83" s="31">
        <f t="shared" si="17"/>
        <v>0.65</v>
      </c>
      <c r="E83" s="34">
        <f t="shared" si="20"/>
        <v>430</v>
      </c>
      <c r="G83" s="42">
        <f t="shared" si="21"/>
        <v>7.6</v>
      </c>
      <c r="O83" s="4">
        <f t="shared" si="16"/>
        <v>0.70000000000000007</v>
      </c>
      <c r="P83" s="11">
        <f t="shared" si="22"/>
        <v>0.65</v>
      </c>
      <c r="Q83" s="8">
        <f t="shared" si="23"/>
        <v>432.80889506684969</v>
      </c>
      <c r="R83" s="14"/>
    </row>
    <row r="84" spans="3:18" ht="15" customHeight="1">
      <c r="C84" s="31">
        <f t="shared" si="17"/>
        <v>0.70000000000000007</v>
      </c>
      <c r="E84" s="34">
        <f t="shared" si="20"/>
        <v>700</v>
      </c>
      <c r="G84" s="42">
        <f t="shared" si="21"/>
        <v>8.8000000000000007</v>
      </c>
      <c r="O84" s="4">
        <f t="shared" si="16"/>
        <v>0.75000000000000011</v>
      </c>
      <c r="P84" s="11">
        <f t="shared" si="22"/>
        <v>0.70000000000000007</v>
      </c>
      <c r="Q84" s="8">
        <f t="shared" si="23"/>
        <v>697.48900237174621</v>
      </c>
      <c r="R84" s="14"/>
    </row>
    <row r="85" spans="3:18" ht="15" customHeight="1">
      <c r="C85" s="31">
        <f t="shared" si="17"/>
        <v>0.75000000000000011</v>
      </c>
      <c r="E85" s="34">
        <f t="shared" si="20"/>
        <v>1200</v>
      </c>
      <c r="G85" s="42">
        <f t="shared" si="21"/>
        <v>10</v>
      </c>
      <c r="O85" s="4">
        <f t="shared" si="16"/>
        <v>0.80000000000000016</v>
      </c>
      <c r="P85" s="11">
        <f t="shared" si="22"/>
        <v>0.75000000000000011</v>
      </c>
      <c r="Q85" s="8">
        <f t="shared" si="23"/>
        <v>1184.0370011205982</v>
      </c>
      <c r="R85" s="14"/>
    </row>
    <row r="86" spans="3:18" ht="15" customHeight="1">
      <c r="C86" s="31">
        <f t="shared" si="17"/>
        <v>0.80000000000000016</v>
      </c>
      <c r="E86" s="34">
        <f t="shared" si="20"/>
        <v>2200</v>
      </c>
      <c r="G86" s="42">
        <f t="shared" si="21"/>
        <v>12</v>
      </c>
      <c r="O86" s="4">
        <f t="shared" si="16"/>
        <v>0.8500000000000002</v>
      </c>
      <c r="P86" s="11">
        <f t="shared" si="22"/>
        <v>0.80000000000000016</v>
      </c>
      <c r="Q86" s="8">
        <f t="shared" si="23"/>
        <v>2174.5768823306935</v>
      </c>
      <c r="R86" s="14"/>
    </row>
    <row r="87" spans="3:18" ht="15" customHeight="1">
      <c r="C87" s="31">
        <f t="shared" si="17"/>
        <v>0.8500000000000002</v>
      </c>
      <c r="E87" s="34">
        <f t="shared" si="20"/>
        <v>4500</v>
      </c>
      <c r="G87" s="42">
        <f t="shared" si="21"/>
        <v>15</v>
      </c>
      <c r="O87" s="4">
        <f t="shared" si="16"/>
        <v>0.90000000000000024</v>
      </c>
      <c r="P87" s="11">
        <f t="shared" si="22"/>
        <v>0.8500000000000002</v>
      </c>
      <c r="Q87" s="8">
        <f t="shared" si="23"/>
        <v>4535.2528219648921</v>
      </c>
      <c r="R87" s="14"/>
    </row>
    <row r="88" spans="3:18" ht="15" customHeight="1">
      <c r="C88" s="31">
        <f t="shared" si="17"/>
        <v>0.90000000000000024</v>
      </c>
      <c r="E88" s="34">
        <f t="shared" si="20"/>
        <v>12000</v>
      </c>
      <c r="G88" s="42">
        <f t="shared" si="21"/>
        <v>19</v>
      </c>
      <c r="O88" s="4">
        <f t="shared" si="16"/>
        <v>0.95000000000000029</v>
      </c>
      <c r="P88" s="11">
        <f t="shared" si="22"/>
        <v>0.90000000000000024</v>
      </c>
      <c r="Q88" s="8">
        <f t="shared" si="23"/>
        <v>11940.558782507087</v>
      </c>
      <c r="R88" s="14"/>
    </row>
    <row r="89" spans="3:18" ht="15" customHeight="1">
      <c r="C89" s="31">
        <f t="shared" si="17"/>
        <v>0.95000000000000029</v>
      </c>
      <c r="E89" s="34">
        <f t="shared" si="20"/>
        <v>55000</v>
      </c>
      <c r="G89" s="42">
        <f t="shared" si="21"/>
        <v>27</v>
      </c>
      <c r="O89" s="4">
        <f t="shared" si="16"/>
        <v>1.0000000000000002</v>
      </c>
      <c r="P89" s="11">
        <f t="shared" si="22"/>
        <v>0.95000000000000029</v>
      </c>
      <c r="Q89" s="8">
        <f t="shared" si="23"/>
        <v>55111.810813573422</v>
      </c>
      <c r="R89" s="14"/>
    </row>
    <row r="90" spans="3:18" ht="6" customHeight="1">
      <c r="C90" s="3"/>
      <c r="D90" s="3"/>
      <c r="E90" s="3"/>
      <c r="F90" s="2"/>
      <c r="G90" s="3"/>
      <c r="H90" s="3"/>
      <c r="R90" s="14"/>
    </row>
    <row r="91" spans="3:18" ht="15" customHeight="1">
      <c r="C91" s="49"/>
    </row>
    <row r="92" spans="3:18" ht="15" customHeight="1">
      <c r="E92" s="34"/>
      <c r="F92"/>
      <c r="G92"/>
      <c r="H92"/>
      <c r="I92"/>
      <c r="J92"/>
      <c r="K92"/>
    </row>
    <row r="93" spans="3:18" ht="15" customHeight="1"/>
    <row r="94" spans="3:18" ht="15" customHeight="1"/>
    <row r="95" spans="3:18" ht="15" customHeight="1"/>
    <row r="96" spans="3:18" ht="15" customHeight="1"/>
    <row r="97" ht="15" customHeight="1"/>
    <row r="98" ht="15" customHeight="1"/>
    <row r="99" ht="15" customHeight="1"/>
    <row r="100" ht="15" customHeight="1"/>
    <row r="101" ht="15" customHeight="1"/>
  </sheetData>
  <sheetProtection password="D8B0" sheet="1" objects="1" scenarios="1"/>
  <protectedRanges>
    <protectedRange sqref="M64:M66 K68" name="Range1"/>
  </protectedRanges>
  <mergeCells count="7">
    <mergeCell ref="E69:F69"/>
    <mergeCell ref="G69:H69"/>
    <mergeCell ref="C69:D69"/>
    <mergeCell ref="D60:R60"/>
    <mergeCell ref="D62:R62"/>
    <mergeCell ref="C64:D66"/>
    <mergeCell ref="O64:R67"/>
  </mergeCells>
  <phoneticPr fontId="4" type="noConversion"/>
  <hyperlinks>
    <hyperlink ref="C64:D66" location="Introduction!A1" display="Left click here to return to first page"/>
  </hyperlinks>
  <printOptions horizontalCentered="1" verticalCentered="1"/>
  <pageMargins left="0.43307086614173229" right="0.18" top="0.63" bottom="0.67" header="0.51181102362204722" footer="0.51181102362204722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pageSetUpPr autoPageBreaks="0"/>
  </sheetPr>
  <dimension ref="A1:V108"/>
  <sheetViews>
    <sheetView showGridLines="0" showRowColHeaders="0" topLeftCell="B60" workbookViewId="0">
      <selection activeCell="C64" sqref="C64:D66"/>
    </sheetView>
  </sheetViews>
  <sheetFormatPr defaultRowHeight="12.75"/>
  <cols>
    <col min="1" max="1" width="0" style="4" hidden="1" customWidth="1"/>
    <col min="2" max="2" width="1.7109375" style="4" customWidth="1"/>
    <col min="3" max="3" width="8.7109375" style="4" customWidth="1"/>
    <col min="4" max="4" width="5.140625" style="4" customWidth="1"/>
    <col min="5" max="5" width="12.28515625" style="4" customWidth="1"/>
    <col min="6" max="6" width="7.85546875" style="5" customWidth="1"/>
    <col min="7" max="7" width="9.28515625" style="4" customWidth="1"/>
    <col min="8" max="8" width="6.85546875" style="4" customWidth="1"/>
    <col min="9" max="9" width="3.7109375" style="4" customWidth="1"/>
    <col min="10" max="18" width="7.7109375" style="4" customWidth="1"/>
    <col min="19" max="20" width="7.7109375" customWidth="1"/>
  </cols>
  <sheetData>
    <row r="1" spans="2:22" hidden="1"/>
    <row r="2" spans="2:22" hidden="1"/>
    <row r="3" spans="2:22" hidden="1">
      <c r="I3" s="4" t="s">
        <v>0</v>
      </c>
      <c r="K3" s="4" t="s">
        <v>1</v>
      </c>
      <c r="N3" s="4" t="s">
        <v>16</v>
      </c>
      <c r="O3" s="4" t="s">
        <v>8</v>
      </c>
    </row>
    <row r="4" spans="2:22" hidden="1">
      <c r="B4" s="5" t="s">
        <v>2</v>
      </c>
      <c r="C4" s="5" t="s">
        <v>11</v>
      </c>
      <c r="D4" s="5"/>
      <c r="E4" s="5" t="s">
        <v>3</v>
      </c>
      <c r="G4" s="5" t="s">
        <v>3</v>
      </c>
      <c r="H4" s="5"/>
      <c r="I4" s="5" t="s">
        <v>4</v>
      </c>
      <c r="J4" s="5" t="s">
        <v>5</v>
      </c>
      <c r="K4" s="4" t="s">
        <v>6</v>
      </c>
      <c r="L4" s="4" t="s">
        <v>7</v>
      </c>
      <c r="N4" s="4" t="s">
        <v>8</v>
      </c>
      <c r="O4" s="4" t="s">
        <v>14</v>
      </c>
      <c r="T4" t="s">
        <v>20</v>
      </c>
      <c r="U4" t="s">
        <v>3</v>
      </c>
      <c r="V4" t="s">
        <v>18</v>
      </c>
    </row>
    <row r="5" spans="2:22" hidden="1">
      <c r="B5" s="5"/>
      <c r="C5" s="5">
        <v>0</v>
      </c>
      <c r="D5" s="5"/>
      <c r="E5" s="5">
        <f>+E6</f>
        <v>1.6448536269514715</v>
      </c>
      <c r="G5" s="5" t="s">
        <v>9</v>
      </c>
      <c r="H5" s="5"/>
      <c r="I5" s="5" t="s">
        <v>10</v>
      </c>
      <c r="J5" s="5" t="s">
        <v>10</v>
      </c>
      <c r="T5">
        <v>0.01</v>
      </c>
      <c r="U5" s="5">
        <f>NORMSINV(1-T5)</f>
        <v>2.3263478740408408</v>
      </c>
      <c r="V5">
        <f>1-NORMSDIST(U5-$Q$39)</f>
        <v>1.0000000000000009E-2</v>
      </c>
    </row>
    <row r="6" spans="2:22" hidden="1">
      <c r="B6" s="6">
        <v>0.05</v>
      </c>
      <c r="C6" s="6">
        <f>+M$66</f>
        <v>0.85</v>
      </c>
      <c r="D6" s="5">
        <f>IF(C6&gt;B6-0.01,C6,D5)</f>
        <v>0.85</v>
      </c>
      <c r="E6" s="5">
        <f>NORMSINV(1-B6)</f>
        <v>1.6448536269514715</v>
      </c>
      <c r="G6" s="7">
        <f>-NORMSINV(1-C6)+E6</f>
        <v>2.6812870164452614</v>
      </c>
      <c r="H6" s="5"/>
      <c r="I6" s="6">
        <f>+M64-0.0001</f>
        <v>0.19990000000000002</v>
      </c>
      <c r="J6" s="6">
        <f>1-M65</f>
        <v>0.8</v>
      </c>
      <c r="K6" s="4">
        <f>NORMDIST(NORMSINV(I6),G6,1,TRUE)</f>
        <v>2.1313206391287176E-4</v>
      </c>
      <c r="L6" s="4">
        <f>NORMDIST(NORMSINV(J6),G6,1,TRUE)</f>
        <v>3.2908660017955942E-2</v>
      </c>
      <c r="N6" s="8">
        <f>+(1-L6)/(1-J6)/K6*I6</f>
        <v>4535.2528219648921</v>
      </c>
      <c r="O6" s="8">
        <f>+EXP(G6)</f>
        <v>14.603876635448975</v>
      </c>
      <c r="T6" s="14">
        <v>0.05</v>
      </c>
      <c r="U6" s="5">
        <f>NORMSINV(1-T6)</f>
        <v>1.6448536269514715</v>
      </c>
      <c r="V6">
        <f>1-NORMSDIST(U6-$Q$39)</f>
        <v>5.0000000000000155E-2</v>
      </c>
    </row>
    <row r="7" spans="2:22" hidden="1">
      <c r="B7" s="6">
        <f>+B6+0.05</f>
        <v>0.1</v>
      </c>
      <c r="C7" s="6">
        <f>+C6</f>
        <v>0.85</v>
      </c>
      <c r="D7" s="5">
        <f t="shared" ref="D7:D24" si="0">IF(C7&gt;B7-0.01,C7)</f>
        <v>0.85</v>
      </c>
      <c r="E7" s="5">
        <f t="shared" ref="E7:E20" si="1">NORMSINV(1-B7)</f>
        <v>1.2815515655446006</v>
      </c>
      <c r="G7" s="7">
        <f t="shared" ref="G7:G20" si="2">-NORMSINV(1-C7)+E7</f>
        <v>2.3179849550383906</v>
      </c>
      <c r="H7" s="5"/>
      <c r="I7" s="6">
        <f>+I6</f>
        <v>0.19990000000000002</v>
      </c>
      <c r="J7" s="6">
        <f>+J6</f>
        <v>0.8</v>
      </c>
      <c r="K7" s="4">
        <f t="shared" ref="K7:K20" si="3">NORMDIST(NORMSINV(I7),G7,1,TRUE)</f>
        <v>7.8894470232083308E-4</v>
      </c>
      <c r="L7" s="4">
        <f t="shared" ref="L7:L20" si="4">NORMDIST(NORMSINV(J7),G7,1,TRUE)</f>
        <v>6.9923138156415043E-2</v>
      </c>
      <c r="N7" s="8">
        <f t="shared" ref="N7:N20" si="5">+(1-L7)/(1-J7)/K7*I7</f>
        <v>1178.2978207192859</v>
      </c>
      <c r="O7" s="8">
        <f t="shared" ref="O7:O24" si="6">+EXP(G7)</f>
        <v>10.155190509648339</v>
      </c>
      <c r="T7" s="14">
        <f>+T6+0.05</f>
        <v>0.1</v>
      </c>
      <c r="U7" s="5">
        <f t="shared" ref="U7:U25" si="7">NORMSINV(1-T7)</f>
        <v>1.2815515655446006</v>
      </c>
      <c r="V7">
        <f t="shared" ref="V7:V25" si="8">1-NORMSDIST(U7-$Q$39)</f>
        <v>9.9999999999999978E-2</v>
      </c>
    </row>
    <row r="8" spans="2:22" hidden="1">
      <c r="B8" s="6">
        <f t="shared" ref="B8:B20" si="9">+B7+0.05</f>
        <v>0.15000000000000002</v>
      </c>
      <c r="C8" s="6">
        <f t="shared" ref="C8:C25" si="10">+C7</f>
        <v>0.85</v>
      </c>
      <c r="D8" s="5">
        <f t="shared" si="0"/>
        <v>0.85</v>
      </c>
      <c r="E8" s="5">
        <f t="shared" si="1"/>
        <v>1.0364333894937898</v>
      </c>
      <c r="G8" s="7">
        <f t="shared" si="2"/>
        <v>2.0728667789875797</v>
      </c>
      <c r="H8" s="5"/>
      <c r="I8" s="6">
        <f t="shared" ref="I8:J23" si="11">+I7</f>
        <v>0.19990000000000002</v>
      </c>
      <c r="J8" s="6">
        <f t="shared" si="11"/>
        <v>0.8</v>
      </c>
      <c r="K8" s="4">
        <f t="shared" si="3"/>
        <v>1.7793247120059363E-3</v>
      </c>
      <c r="L8" s="4">
        <f t="shared" si="4"/>
        <v>0.10911552081962271</v>
      </c>
      <c r="N8" s="8">
        <f t="shared" si="5"/>
        <v>500.4365032040406</v>
      </c>
      <c r="O8" s="8">
        <f t="shared" si="6"/>
        <v>7.9475744301543969</v>
      </c>
      <c r="T8" s="14">
        <f t="shared" ref="T8:T24" si="12">+T7+0.05</f>
        <v>0.15000000000000002</v>
      </c>
      <c r="U8" s="5">
        <f t="shared" si="7"/>
        <v>1.0364333894937898</v>
      </c>
      <c r="V8">
        <f t="shared" si="8"/>
        <v>0.14999999999999991</v>
      </c>
    </row>
    <row r="9" spans="2:22" hidden="1">
      <c r="B9" s="6">
        <f t="shared" si="9"/>
        <v>0.2</v>
      </c>
      <c r="C9" s="6">
        <f t="shared" si="10"/>
        <v>0.85</v>
      </c>
      <c r="D9" s="5">
        <f t="shared" si="0"/>
        <v>0.85</v>
      </c>
      <c r="E9" s="5">
        <f t="shared" si="1"/>
        <v>0.84162123357291474</v>
      </c>
      <c r="G9" s="7">
        <f t="shared" si="2"/>
        <v>1.8780546230667046</v>
      </c>
      <c r="H9" s="5"/>
      <c r="I9" s="6">
        <f t="shared" si="11"/>
        <v>0.19990000000000002</v>
      </c>
      <c r="J9" s="6">
        <f t="shared" si="11"/>
        <v>0.8</v>
      </c>
      <c r="K9" s="4">
        <f t="shared" si="3"/>
        <v>3.2637690778191952E-3</v>
      </c>
      <c r="L9" s="4">
        <f t="shared" si="4"/>
        <v>0.14999999999999994</v>
      </c>
      <c r="N9" s="8">
        <f t="shared" si="5"/>
        <v>260.30487443911767</v>
      </c>
      <c r="O9" s="8">
        <f t="shared" si="6"/>
        <v>6.5407682178039117</v>
      </c>
      <c r="T9" s="14">
        <f t="shared" si="12"/>
        <v>0.2</v>
      </c>
      <c r="U9" s="5">
        <f t="shared" si="7"/>
        <v>0.84162123357291474</v>
      </c>
      <c r="V9">
        <f t="shared" si="8"/>
        <v>0.19999999999999984</v>
      </c>
    </row>
    <row r="10" spans="2:22" hidden="1">
      <c r="B10" s="6">
        <f t="shared" si="9"/>
        <v>0.25</v>
      </c>
      <c r="C10" s="6">
        <f t="shared" si="10"/>
        <v>0.85</v>
      </c>
      <c r="D10" s="5">
        <f t="shared" si="0"/>
        <v>0.85</v>
      </c>
      <c r="E10" s="5">
        <f t="shared" si="1"/>
        <v>0.67448975019608193</v>
      </c>
      <c r="G10" s="7">
        <f t="shared" si="2"/>
        <v>1.7109231396898719</v>
      </c>
      <c r="H10" s="5"/>
      <c r="I10" s="6">
        <f t="shared" si="11"/>
        <v>0.19990000000000002</v>
      </c>
      <c r="J10" s="6">
        <f t="shared" si="11"/>
        <v>0.8</v>
      </c>
      <c r="K10" s="4">
        <f t="shared" si="3"/>
        <v>5.3414833427876457E-3</v>
      </c>
      <c r="L10" s="4">
        <f t="shared" si="4"/>
        <v>0.19234101029098521</v>
      </c>
      <c r="N10" s="8">
        <f t="shared" si="5"/>
        <v>151.1293976614491</v>
      </c>
      <c r="O10" s="8">
        <f t="shared" si="6"/>
        <v>5.5340678379871013</v>
      </c>
      <c r="T10" s="14">
        <f t="shared" si="12"/>
        <v>0.25</v>
      </c>
      <c r="U10" s="5">
        <f t="shared" si="7"/>
        <v>0.67448975019608193</v>
      </c>
      <c r="V10">
        <f t="shared" si="8"/>
        <v>0.24999999999999989</v>
      </c>
    </row>
    <row r="11" spans="2:22" hidden="1">
      <c r="B11" s="6">
        <f t="shared" si="9"/>
        <v>0.3</v>
      </c>
      <c r="C11" s="6">
        <f t="shared" si="10"/>
        <v>0.85</v>
      </c>
      <c r="D11" s="5">
        <f t="shared" si="0"/>
        <v>0.85</v>
      </c>
      <c r="E11" s="5">
        <f t="shared" si="1"/>
        <v>0.52440051270804078</v>
      </c>
      <c r="G11" s="7">
        <f t="shared" si="2"/>
        <v>1.5608339022018307</v>
      </c>
      <c r="H11" s="5"/>
      <c r="I11" s="6">
        <f t="shared" si="11"/>
        <v>0.19990000000000002</v>
      </c>
      <c r="J11" s="6">
        <f t="shared" si="11"/>
        <v>0.8</v>
      </c>
      <c r="K11" s="4">
        <f t="shared" si="3"/>
        <v>8.1347661352092187E-3</v>
      </c>
      <c r="L11" s="4">
        <f t="shared" si="4"/>
        <v>0.23600494742246467</v>
      </c>
      <c r="N11" s="8">
        <f t="shared" si="5"/>
        <v>93.87031444532208</v>
      </c>
      <c r="O11" s="8">
        <f t="shared" si="6"/>
        <v>4.7627912917375319</v>
      </c>
      <c r="T11" s="14">
        <f t="shared" si="12"/>
        <v>0.3</v>
      </c>
      <c r="U11" s="5">
        <f t="shared" si="7"/>
        <v>0.52440051270804078</v>
      </c>
      <c r="V11">
        <f t="shared" si="8"/>
        <v>0.29999999999999993</v>
      </c>
    </row>
    <row r="12" spans="2:22" hidden="1">
      <c r="B12" s="6">
        <f t="shared" si="9"/>
        <v>0.35</v>
      </c>
      <c r="C12" s="6">
        <f t="shared" si="10"/>
        <v>0.85</v>
      </c>
      <c r="D12" s="5">
        <f t="shared" si="0"/>
        <v>0.85</v>
      </c>
      <c r="E12" s="5">
        <f t="shared" si="1"/>
        <v>0.38532046640756784</v>
      </c>
      <c r="G12" s="7">
        <f t="shared" si="2"/>
        <v>1.4217538559013576</v>
      </c>
      <c r="H12" s="5"/>
      <c r="I12" s="6">
        <f t="shared" si="11"/>
        <v>0.19990000000000002</v>
      </c>
      <c r="J12" s="6">
        <f t="shared" si="11"/>
        <v>0.8</v>
      </c>
      <c r="K12" s="4">
        <f t="shared" si="3"/>
        <v>1.1795291242179838E-2</v>
      </c>
      <c r="L12" s="4">
        <f t="shared" si="4"/>
        <v>0.28091259302925708</v>
      </c>
      <c r="N12" s="8">
        <f t="shared" si="5"/>
        <v>60.933456284410717</v>
      </c>
      <c r="O12" s="8">
        <f t="shared" si="6"/>
        <v>4.1443827199846677</v>
      </c>
      <c r="T12" s="14">
        <f t="shared" si="12"/>
        <v>0.35</v>
      </c>
      <c r="U12" s="5">
        <f t="shared" si="7"/>
        <v>0.38532046640756784</v>
      </c>
      <c r="V12">
        <f t="shared" si="8"/>
        <v>0.34999999999999987</v>
      </c>
    </row>
    <row r="13" spans="2:22" hidden="1">
      <c r="B13" s="6">
        <f t="shared" si="9"/>
        <v>0.39999999999999997</v>
      </c>
      <c r="C13" s="6">
        <f t="shared" si="10"/>
        <v>0.85</v>
      </c>
      <c r="D13" s="5">
        <f t="shared" si="0"/>
        <v>0.85</v>
      </c>
      <c r="E13" s="5">
        <f t="shared" si="1"/>
        <v>0.25334710313580006</v>
      </c>
      <c r="G13" s="7">
        <f t="shared" si="2"/>
        <v>1.2897804926295899</v>
      </c>
      <c r="H13" s="5"/>
      <c r="I13" s="6">
        <f t="shared" si="11"/>
        <v>0.19990000000000002</v>
      </c>
      <c r="J13" s="6">
        <f t="shared" si="11"/>
        <v>0.8</v>
      </c>
      <c r="K13" s="4">
        <f t="shared" si="3"/>
        <v>1.6513333059799934E-2</v>
      </c>
      <c r="L13" s="4">
        <f t="shared" si="4"/>
        <v>0.3270191315860469</v>
      </c>
      <c r="N13" s="8">
        <f t="shared" si="5"/>
        <v>40.733410725980704</v>
      </c>
      <c r="O13" s="8">
        <f t="shared" si="6"/>
        <v>3.6319892198424508</v>
      </c>
      <c r="T13" s="14">
        <f t="shared" si="12"/>
        <v>0.39999999999999997</v>
      </c>
      <c r="U13" s="5">
        <f t="shared" si="7"/>
        <v>0.25334710313580006</v>
      </c>
      <c r="V13">
        <f t="shared" si="8"/>
        <v>0.39999999999999991</v>
      </c>
    </row>
    <row r="14" spans="2:22" hidden="1">
      <c r="B14" s="6">
        <f t="shared" si="9"/>
        <v>0.44999999999999996</v>
      </c>
      <c r="C14" s="6">
        <f t="shared" si="10"/>
        <v>0.85</v>
      </c>
      <c r="D14" s="5">
        <f t="shared" si="0"/>
        <v>0.85</v>
      </c>
      <c r="E14" s="5">
        <f t="shared" si="1"/>
        <v>0.12566134685507416</v>
      </c>
      <c r="G14" s="7">
        <f t="shared" si="2"/>
        <v>1.1620947363488641</v>
      </c>
      <c r="H14" s="5"/>
      <c r="I14" s="6">
        <f t="shared" si="11"/>
        <v>0.19990000000000002</v>
      </c>
      <c r="J14" s="6">
        <f t="shared" si="11"/>
        <v>0.8</v>
      </c>
      <c r="K14" s="4">
        <f t="shared" si="3"/>
        <v>2.2531109075454338E-2</v>
      </c>
      <c r="L14" s="4">
        <f t="shared" si="4"/>
        <v>0.37430470687327499</v>
      </c>
      <c r="N14" s="8">
        <f t="shared" si="5"/>
        <v>27.756398648012453</v>
      </c>
      <c r="O14" s="8">
        <f t="shared" si="6"/>
        <v>3.1966223487760104</v>
      </c>
      <c r="T14" s="14">
        <f t="shared" si="12"/>
        <v>0.44999999999999996</v>
      </c>
      <c r="U14" s="5">
        <f t="shared" si="7"/>
        <v>0.12566134685507416</v>
      </c>
      <c r="V14">
        <f t="shared" si="8"/>
        <v>0.44999999999999996</v>
      </c>
    </row>
    <row r="15" spans="2:22" hidden="1">
      <c r="B15" s="6">
        <f t="shared" si="9"/>
        <v>0.49999999999999994</v>
      </c>
      <c r="C15" s="6">
        <f t="shared" si="10"/>
        <v>0.85</v>
      </c>
      <c r="D15" s="5">
        <f t="shared" si="0"/>
        <v>0.85</v>
      </c>
      <c r="E15" s="5">
        <f t="shared" si="1"/>
        <v>0</v>
      </c>
      <c r="G15" s="7">
        <f t="shared" si="2"/>
        <v>1.0364333894937898</v>
      </c>
      <c r="H15" s="5"/>
      <c r="I15" s="6">
        <f t="shared" si="11"/>
        <v>0.19990000000000002</v>
      </c>
      <c r="J15" s="6">
        <f t="shared" si="11"/>
        <v>0.8</v>
      </c>
      <c r="K15" s="4">
        <f t="shared" si="3"/>
        <v>3.0162421597183034E-2</v>
      </c>
      <c r="L15" s="4">
        <f t="shared" si="4"/>
        <v>0.42277000278432431</v>
      </c>
      <c r="N15" s="8">
        <f t="shared" si="5"/>
        <v>19.127820369401324</v>
      </c>
      <c r="O15" s="8">
        <f t="shared" si="6"/>
        <v>2.8191442726746705</v>
      </c>
      <c r="T15" s="14">
        <f t="shared" si="12"/>
        <v>0.49999999999999994</v>
      </c>
      <c r="U15" s="5">
        <f t="shared" si="7"/>
        <v>0</v>
      </c>
      <c r="V15">
        <f t="shared" si="8"/>
        <v>0.5</v>
      </c>
    </row>
    <row r="16" spans="2:22" hidden="1">
      <c r="B16" s="6">
        <f t="shared" si="9"/>
        <v>0.54999999999999993</v>
      </c>
      <c r="C16" s="6">
        <f t="shared" si="10"/>
        <v>0.85</v>
      </c>
      <c r="D16" s="5">
        <f t="shared" si="0"/>
        <v>0.85</v>
      </c>
      <c r="E16" s="5">
        <f t="shared" si="1"/>
        <v>-0.12566134685507385</v>
      </c>
      <c r="G16" s="7">
        <f t="shared" si="2"/>
        <v>0.91077204263871603</v>
      </c>
      <c r="H16" s="5"/>
      <c r="I16" s="6">
        <f t="shared" si="11"/>
        <v>0.19990000000000002</v>
      </c>
      <c r="J16" s="6">
        <f t="shared" si="11"/>
        <v>0.8</v>
      </c>
      <c r="K16" s="4">
        <f t="shared" si="3"/>
        <v>3.9822419768581974E-2</v>
      </c>
      <c r="L16" s="4">
        <f t="shared" si="4"/>
        <v>0.47243478900067959</v>
      </c>
      <c r="N16" s="8">
        <f t="shared" si="5"/>
        <v>13.241320629386694</v>
      </c>
      <c r="O16" s="8">
        <f t="shared" si="6"/>
        <v>2.4862412768895061</v>
      </c>
      <c r="T16" s="14">
        <f t="shared" si="12"/>
        <v>0.54999999999999993</v>
      </c>
      <c r="U16" s="5">
        <f t="shared" si="7"/>
        <v>-0.12566134685507385</v>
      </c>
      <c r="V16">
        <f t="shared" si="8"/>
        <v>0.54999999999999993</v>
      </c>
    </row>
    <row r="17" spans="1:22" hidden="1">
      <c r="B17" s="6">
        <f t="shared" si="9"/>
        <v>0.6</v>
      </c>
      <c r="C17" s="6">
        <f t="shared" si="10"/>
        <v>0.85</v>
      </c>
      <c r="D17" s="5">
        <f t="shared" si="0"/>
        <v>0.85</v>
      </c>
      <c r="E17" s="5">
        <f t="shared" si="1"/>
        <v>-0.25334710313579978</v>
      </c>
      <c r="G17" s="7">
        <f t="shared" si="2"/>
        <v>0.78308628635799005</v>
      </c>
      <c r="H17" s="5"/>
      <c r="I17" s="6">
        <f t="shared" si="11"/>
        <v>0.19990000000000002</v>
      </c>
      <c r="J17" s="6">
        <f t="shared" si="11"/>
        <v>0.8</v>
      </c>
      <c r="K17" s="4">
        <f t="shared" si="3"/>
        <v>5.2074379819548711E-2</v>
      </c>
      <c r="L17" s="4">
        <f t="shared" si="4"/>
        <v>0.5233387368232616</v>
      </c>
      <c r="N17" s="8">
        <f t="shared" si="5"/>
        <v>9.1488930678786726</v>
      </c>
      <c r="O17" s="8">
        <f t="shared" si="6"/>
        <v>2.1882153137280378</v>
      </c>
      <c r="T17" s="14">
        <f t="shared" si="12"/>
        <v>0.6</v>
      </c>
      <c r="U17" s="5">
        <f t="shared" si="7"/>
        <v>-0.25334710313579978</v>
      </c>
      <c r="V17">
        <f t="shared" si="8"/>
        <v>0.6</v>
      </c>
    </row>
    <row r="18" spans="1:22" hidden="1">
      <c r="B18" s="6">
        <f t="shared" si="9"/>
        <v>0.65</v>
      </c>
      <c r="C18" s="6">
        <f t="shared" si="10"/>
        <v>0.85</v>
      </c>
      <c r="D18" s="5">
        <f t="shared" si="0"/>
        <v>0.85</v>
      </c>
      <c r="E18" s="5">
        <f t="shared" si="1"/>
        <v>-0.38532046640756784</v>
      </c>
      <c r="G18" s="7">
        <f t="shared" si="2"/>
        <v>0.65111292308622204</v>
      </c>
      <c r="H18" s="5"/>
      <c r="I18" s="6">
        <f t="shared" si="11"/>
        <v>0.19990000000000002</v>
      </c>
      <c r="J18" s="6">
        <f t="shared" si="11"/>
        <v>0.8</v>
      </c>
      <c r="K18" s="4">
        <f t="shared" si="3"/>
        <v>6.7706631462972719E-2</v>
      </c>
      <c r="L18" s="4">
        <f t="shared" si="4"/>
        <v>0.57554458419313814</v>
      </c>
      <c r="N18" s="8">
        <f t="shared" si="5"/>
        <v>6.2659030427612974</v>
      </c>
      <c r="O18" s="8">
        <f t="shared" si="6"/>
        <v>1.9176738653576373</v>
      </c>
      <c r="T18" s="14">
        <f t="shared" si="12"/>
        <v>0.65</v>
      </c>
      <c r="U18" s="5">
        <f t="shared" si="7"/>
        <v>-0.38532046640756784</v>
      </c>
      <c r="V18">
        <f t="shared" si="8"/>
        <v>0.65000000000000013</v>
      </c>
    </row>
    <row r="19" spans="1:22" hidden="1">
      <c r="B19" s="6">
        <f t="shared" si="9"/>
        <v>0.70000000000000007</v>
      </c>
      <c r="C19" s="6">
        <f t="shared" si="10"/>
        <v>0.85</v>
      </c>
      <c r="D19" s="5">
        <f t="shared" si="0"/>
        <v>0.85</v>
      </c>
      <c r="E19" s="5">
        <f t="shared" si="1"/>
        <v>-0.524400512708041</v>
      </c>
      <c r="G19" s="7">
        <f t="shared" si="2"/>
        <v>0.51203287678574883</v>
      </c>
      <c r="H19" s="5"/>
      <c r="I19" s="6">
        <f t="shared" si="11"/>
        <v>0.19990000000000002</v>
      </c>
      <c r="J19" s="6">
        <f t="shared" si="11"/>
        <v>0.8</v>
      </c>
      <c r="K19" s="4">
        <f t="shared" si="3"/>
        <v>8.7866377461678233E-2</v>
      </c>
      <c r="L19" s="4">
        <f t="shared" si="4"/>
        <v>0.62914448929723776</v>
      </c>
      <c r="N19" s="8">
        <f t="shared" si="5"/>
        <v>4.2185656636302538</v>
      </c>
      <c r="O19" s="8">
        <f t="shared" si="6"/>
        <v>1.6686799700717123</v>
      </c>
      <c r="T19" s="14">
        <f t="shared" si="12"/>
        <v>0.70000000000000007</v>
      </c>
      <c r="U19" s="5">
        <f t="shared" si="7"/>
        <v>-0.524400512708041</v>
      </c>
      <c r="V19">
        <f t="shared" si="8"/>
        <v>0.70000000000000018</v>
      </c>
    </row>
    <row r="20" spans="1:22" hidden="1">
      <c r="B20" s="6">
        <f t="shared" si="9"/>
        <v>0.75000000000000011</v>
      </c>
      <c r="C20" s="6">
        <f t="shared" si="10"/>
        <v>0.85</v>
      </c>
      <c r="D20" s="5">
        <f t="shared" si="0"/>
        <v>0.85</v>
      </c>
      <c r="E20" s="5">
        <f t="shared" si="1"/>
        <v>-0.67448975019608215</v>
      </c>
      <c r="G20" s="7">
        <f t="shared" si="2"/>
        <v>0.36194363929770768</v>
      </c>
      <c r="H20" s="5"/>
      <c r="I20" s="6">
        <f t="shared" si="11"/>
        <v>0.19990000000000002</v>
      </c>
      <c r="J20" s="6">
        <f t="shared" si="11"/>
        <v>0.8</v>
      </c>
      <c r="K20" s="4">
        <f t="shared" si="3"/>
        <v>0.11430984103440016</v>
      </c>
      <c r="L20" s="4">
        <f t="shared" si="4"/>
        <v>0.68427166889332813</v>
      </c>
      <c r="N20" s="8">
        <f t="shared" si="5"/>
        <v>2.7606587856784053</v>
      </c>
      <c r="O20" s="8">
        <f t="shared" si="6"/>
        <v>1.4361179990603723</v>
      </c>
      <c r="T20" s="14">
        <f t="shared" si="12"/>
        <v>0.75000000000000011</v>
      </c>
      <c r="U20" s="5">
        <f t="shared" si="7"/>
        <v>-0.67448975019608215</v>
      </c>
      <c r="V20">
        <f t="shared" si="8"/>
        <v>0.75000000000000022</v>
      </c>
    </row>
    <row r="21" spans="1:22" hidden="1">
      <c r="B21" s="6">
        <f>+B20+0.05</f>
        <v>0.80000000000000016</v>
      </c>
      <c r="C21" s="6">
        <f t="shared" si="10"/>
        <v>0.85</v>
      </c>
      <c r="D21" s="5">
        <f t="shared" si="0"/>
        <v>0.85</v>
      </c>
      <c r="E21" s="5">
        <f>NORMSINV(1-B21)</f>
        <v>-0.84162123357291396</v>
      </c>
      <c r="G21" s="7">
        <f>-NORMSINV(1-C21)+E21</f>
        <v>0.19481215592087586</v>
      </c>
      <c r="H21" s="5"/>
      <c r="I21" s="6">
        <f t="shared" si="11"/>
        <v>0.19990000000000002</v>
      </c>
      <c r="J21" s="6">
        <f t="shared" si="11"/>
        <v>0.8</v>
      </c>
      <c r="K21" s="4">
        <f>NORMDIST(NORMSINV(I21),G21,1,TRUE)</f>
        <v>0.14991672058039707</v>
      </c>
      <c r="L21" s="4">
        <f>NORMDIST(NORMSINV(J21),G21,1,TRUE)</f>
        <v>0.74112224172376406</v>
      </c>
      <c r="N21" s="8">
        <f>+(1-L21)/(1-J21)/K21*I21</f>
        <v>1.7259470350963075</v>
      </c>
      <c r="O21" s="8">
        <f t="shared" si="6"/>
        <v>1.2150827189566475</v>
      </c>
      <c r="T21" s="14">
        <f t="shared" si="12"/>
        <v>0.80000000000000016</v>
      </c>
      <c r="U21" s="5">
        <f t="shared" si="7"/>
        <v>-0.84162123357291396</v>
      </c>
      <c r="V21">
        <f t="shared" si="8"/>
        <v>0.79999999999999993</v>
      </c>
    </row>
    <row r="22" spans="1:22" hidden="1">
      <c r="B22" s="6">
        <f>+B21+0.05</f>
        <v>0.8500000000000002</v>
      </c>
      <c r="C22" s="6">
        <f t="shared" si="10"/>
        <v>0.85</v>
      </c>
      <c r="D22" s="5">
        <f t="shared" si="0"/>
        <v>0.85</v>
      </c>
      <c r="E22" s="5">
        <f>NORMSINV(1-B22)</f>
        <v>-1.0364333894937894</v>
      </c>
      <c r="G22" s="7">
        <f>-NORMSINV(1-C22)+E22</f>
        <v>0</v>
      </c>
      <c r="H22" s="5"/>
      <c r="I22" s="6">
        <f t="shared" si="11"/>
        <v>0.19990000000000002</v>
      </c>
      <c r="J22" s="6">
        <f t="shared" si="11"/>
        <v>0.8</v>
      </c>
      <c r="K22" s="4">
        <f>NORMDIST(NORMSINV(I22),G22,1,TRUE)</f>
        <v>0.19990000000000019</v>
      </c>
      <c r="L22" s="4">
        <f>NORMDIST(NORMSINV(J22),G22,1,TRUE)</f>
        <v>0.80000000000000016</v>
      </c>
      <c r="N22" s="8">
        <f>+(1-L22)/(1-J22)/K22*I22</f>
        <v>0.99999999999999856</v>
      </c>
      <c r="O22" s="8">
        <f>+EXP(G22)</f>
        <v>1</v>
      </c>
      <c r="T22" s="14">
        <f t="shared" si="12"/>
        <v>0.8500000000000002</v>
      </c>
      <c r="U22" s="5">
        <f t="shared" si="7"/>
        <v>-1.0364333894937894</v>
      </c>
      <c r="V22">
        <f t="shared" si="8"/>
        <v>0.85</v>
      </c>
    </row>
    <row r="23" spans="1:22" hidden="1">
      <c r="B23" s="6">
        <f>+B22+0.05</f>
        <v>0.90000000000000024</v>
      </c>
      <c r="C23" s="6">
        <f t="shared" si="10"/>
        <v>0.85</v>
      </c>
      <c r="D23" s="5" t="b">
        <f t="shared" si="0"/>
        <v>0</v>
      </c>
      <c r="E23" s="5">
        <f>NORMSINV(1-B23)</f>
        <v>-1.2815515655446028</v>
      </c>
      <c r="G23" s="7">
        <f>-NORMSINV(1-C23)+E23</f>
        <v>-0.24511817605081299</v>
      </c>
      <c r="H23" s="5"/>
      <c r="I23" s="6">
        <f t="shared" si="11"/>
        <v>0.19990000000000002</v>
      </c>
      <c r="J23" s="6">
        <f t="shared" si="11"/>
        <v>0.8</v>
      </c>
      <c r="K23" s="4">
        <f>NORMDIST(NORMSINV(I23),G23,1,TRUE)</f>
        <v>0.27530032649403813</v>
      </c>
      <c r="L23" s="4">
        <f>NORMDIST(NORMSINV(J23),G23,1,TRUE)</f>
        <v>0.86142400403666142</v>
      </c>
      <c r="N23" s="8">
        <f>+(1-L23)/(1-J23)/K23*I23</f>
        <v>0.50311131021617739</v>
      </c>
      <c r="O23" s="8">
        <f t="shared" si="6"/>
        <v>0.78261204677583107</v>
      </c>
      <c r="T23" s="14">
        <f t="shared" si="12"/>
        <v>0.90000000000000024</v>
      </c>
      <c r="U23" s="5">
        <f t="shared" si="7"/>
        <v>-1.2815515655446028</v>
      </c>
      <c r="V23">
        <f t="shared" si="8"/>
        <v>0.90000000000000047</v>
      </c>
    </row>
    <row r="24" spans="1:22" hidden="1">
      <c r="B24" s="6">
        <f>+B23+0.05</f>
        <v>0.95000000000000029</v>
      </c>
      <c r="C24" s="6">
        <f t="shared" si="10"/>
        <v>0.85</v>
      </c>
      <c r="D24" s="5" t="b">
        <f t="shared" si="0"/>
        <v>0</v>
      </c>
      <c r="E24" s="5">
        <f>NORMSINV(1-B24)</f>
        <v>-1.6448536269514753</v>
      </c>
      <c r="G24" s="7">
        <f>-NORMSINV(1-C24)+E24</f>
        <v>-0.60842023745768548</v>
      </c>
      <c r="H24" s="5"/>
      <c r="I24" s="6">
        <f>+I23</f>
        <v>0.19990000000000002</v>
      </c>
      <c r="J24" s="6">
        <f>+J23</f>
        <v>0.8</v>
      </c>
      <c r="K24" s="4">
        <f>NORMDIST(NORMSINV(I24),G24,1,TRUE)</f>
        <v>0.40766397488418871</v>
      </c>
      <c r="L24" s="4">
        <f>NORMDIST(NORMSINV(J24),G24,1,TRUE)</f>
        <v>0.92647652254578672</v>
      </c>
      <c r="N24" s="8">
        <f>+(1-L24)/(1-J24)/K24*I24</f>
        <v>0.18026296225061997</v>
      </c>
      <c r="O24" s="8">
        <f t="shared" si="6"/>
        <v>0.54420991278868269</v>
      </c>
      <c r="T24" s="14">
        <f t="shared" si="12"/>
        <v>0.95000000000000029</v>
      </c>
      <c r="U24" s="5">
        <f t="shared" si="7"/>
        <v>-1.6448536269514753</v>
      </c>
      <c r="V24">
        <f t="shared" si="8"/>
        <v>0.95000000000000029</v>
      </c>
    </row>
    <row r="25" spans="1:22" hidden="1">
      <c r="B25" s="6">
        <f>+B24+0.05</f>
        <v>1.0000000000000002</v>
      </c>
      <c r="C25" s="6">
        <f t="shared" si="10"/>
        <v>0.85</v>
      </c>
      <c r="D25" s="5"/>
      <c r="E25" s="5"/>
      <c r="G25" s="7"/>
      <c r="H25" s="5"/>
      <c r="I25" s="6"/>
      <c r="J25" s="6"/>
      <c r="N25" s="8"/>
      <c r="O25" s="8"/>
      <c r="T25" s="14">
        <v>0.99</v>
      </c>
      <c r="U25" s="5">
        <f t="shared" si="7"/>
        <v>-2.3263478740408408</v>
      </c>
      <c r="V25">
        <f t="shared" si="8"/>
        <v>0.99</v>
      </c>
    </row>
    <row r="26" spans="1:22" hidden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22" hidden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1:22" hidden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22" hidden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22" hidden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22" hidden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1:22" hidden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18" hidden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hidden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hidden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hidden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hidden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hidden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hidden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hidden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hidden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hidden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hidden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hidden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hidden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idden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hidden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hidden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hidden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hidden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hidden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hidden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hidden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hidden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hidden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hidden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hidden="1">
      <c r="B57" s="6"/>
      <c r="C57"/>
      <c r="D57"/>
      <c r="E57"/>
      <c r="F57"/>
      <c r="H57"/>
      <c r="I57"/>
      <c r="J57"/>
      <c r="N57" s="8"/>
      <c r="O57" s="8"/>
    </row>
    <row r="58" spans="1:18" hidden="1">
      <c r="B58" s="6"/>
      <c r="C58"/>
      <c r="D58"/>
      <c r="E58"/>
      <c r="F58"/>
      <c r="G58"/>
      <c r="H58"/>
      <c r="I58"/>
      <c r="J58"/>
      <c r="N58" s="8"/>
      <c r="O58" s="8"/>
    </row>
    <row r="59" spans="1:18" hidden="1">
      <c r="B59" s="6"/>
      <c r="C59" s="7"/>
      <c r="D59" s="7"/>
      <c r="E59"/>
      <c r="F59"/>
      <c r="G59"/>
      <c r="H59"/>
      <c r="I59"/>
      <c r="J59"/>
      <c r="N59" s="8"/>
      <c r="O59" s="8"/>
    </row>
    <row r="60" spans="1:18" ht="6" customHeight="1">
      <c r="B60" s="6"/>
      <c r="C60" s="7"/>
      <c r="D60" s="7"/>
      <c r="E60"/>
      <c r="F60"/>
      <c r="G60"/>
      <c r="H60"/>
      <c r="I60"/>
      <c r="J60"/>
      <c r="N60" s="8"/>
      <c r="O60" s="8"/>
    </row>
    <row r="61" spans="1:18" ht="15" customHeight="1">
      <c r="D61" s="88" t="s">
        <v>34</v>
      </c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8" ht="15" customHeight="1">
      <c r="D62" s="88" t="s">
        <v>45</v>
      </c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</row>
    <row r="63" spans="1:18" ht="6" customHeight="1"/>
    <row r="64" spans="1:18" ht="15" customHeight="1">
      <c r="C64" s="90" t="s">
        <v>72</v>
      </c>
      <c r="D64" s="91"/>
      <c r="F64" s="9" t="s">
        <v>30</v>
      </c>
      <c r="H64" s="9"/>
      <c r="I64" s="9"/>
      <c r="J64" s="9"/>
      <c r="K64" s="10"/>
      <c r="M64" s="59">
        <v>0.2</v>
      </c>
      <c r="O64" s="110" t="s">
        <v>74</v>
      </c>
      <c r="P64" s="111"/>
      <c r="Q64" s="111"/>
      <c r="R64" s="111"/>
    </row>
    <row r="65" spans="3:18" ht="15" customHeight="1">
      <c r="C65" s="92"/>
      <c r="D65" s="93"/>
      <c r="F65" s="9" t="s">
        <v>31</v>
      </c>
      <c r="H65" s="9"/>
      <c r="I65" s="9"/>
      <c r="J65" s="9"/>
      <c r="K65" s="10"/>
      <c r="M65" s="59">
        <v>0.2</v>
      </c>
      <c r="O65" s="111"/>
      <c r="P65" s="111"/>
      <c r="Q65" s="111"/>
      <c r="R65" s="111"/>
    </row>
    <row r="66" spans="3:18" ht="15" customHeight="1">
      <c r="C66" s="94"/>
      <c r="D66" s="95"/>
      <c r="F66" s="9" t="s">
        <v>24</v>
      </c>
      <c r="H66" s="9"/>
      <c r="I66" s="9"/>
      <c r="J66" s="9"/>
      <c r="K66" s="10"/>
      <c r="M66" s="59">
        <v>0.85</v>
      </c>
      <c r="O66" s="111"/>
      <c r="P66" s="111"/>
      <c r="Q66" s="111"/>
      <c r="R66" s="111"/>
    </row>
    <row r="67" spans="3:18" ht="6" customHeight="1">
      <c r="O67" s="111"/>
      <c r="P67" s="111"/>
      <c r="Q67" s="111"/>
      <c r="R67" s="111"/>
    </row>
    <row r="68" spans="3:18" ht="6" customHeight="1">
      <c r="K68" s="15"/>
    </row>
    <row r="69" spans="3:18" ht="45" customHeight="1">
      <c r="C69" s="112" t="str">
        <f>CONCATENATE("False Positive Rate for a ", $M66*100,"% detection rate")</f>
        <v>False Positive Rate for a 85% detection rate</v>
      </c>
      <c r="D69" s="112"/>
      <c r="E69" s="112" t="str">
        <f>+CONCATENATE("Odds Ratio comparing lowest ",M64*100, "%  with highest ", M65*100,"%")</f>
        <v>Odds Ratio comparing lowest 20%  with highest 20%</v>
      </c>
      <c r="F69" s="113"/>
      <c r="G69" s="112" t="s">
        <v>44</v>
      </c>
      <c r="H69" s="113"/>
      <c r="O69" s="4">
        <f>+C5</f>
        <v>0</v>
      </c>
      <c r="P69" s="4" t="s">
        <v>17</v>
      </c>
    </row>
    <row r="70" spans="3:18" ht="6" customHeight="1">
      <c r="E70" s="5"/>
      <c r="O70" s="4">
        <f>+C6</f>
        <v>0.85</v>
      </c>
      <c r="P70" s="16" t="s">
        <v>18</v>
      </c>
      <c r="Q70" s="16" t="s">
        <v>8</v>
      </c>
      <c r="R70" s="14"/>
    </row>
    <row r="71" spans="3:18" ht="15" customHeight="1">
      <c r="C71" s="31">
        <f t="shared" ref="C71:C80" si="13">+IF(C6&gt;B6-0.01,B6,"")</f>
        <v>0.05</v>
      </c>
      <c r="D71"/>
      <c r="E71" s="41">
        <f>+IF(C6&gt;B6-0.01,ROUND(N6,2-LEN(INT(N6))),"")</f>
        <v>4500</v>
      </c>
      <c r="G71" s="42">
        <f>+IF(C6&gt;B6-0.01,ROUND(O6,2-LEN(INT(O6))),"")</f>
        <v>15</v>
      </c>
      <c r="K71" s="4" t="str">
        <f>+CONCATENATE(" Detection rate of ",M66*100,"%")</f>
        <v xml:space="preserve"> Detection rate of 85%</v>
      </c>
      <c r="M71" s="12">
        <v>0.7</v>
      </c>
      <c r="N71" s="8">
        <f>+E71</f>
        <v>4500</v>
      </c>
      <c r="O71" s="5">
        <f t="shared" ref="O71:O89" si="14">IF(C6&gt;B6-0.01,B6,O70)</f>
        <v>0.05</v>
      </c>
      <c r="P71" s="12">
        <f t="shared" ref="P71:P89" si="15">+D71</f>
        <v>0</v>
      </c>
      <c r="Q71" s="7">
        <f t="shared" ref="Q71:Q89" si="16">IF(C6&gt;B6-0.01,N6,Q70)</f>
        <v>4535.2528219648921</v>
      </c>
      <c r="R71" s="14"/>
    </row>
    <row r="72" spans="3:18" ht="15" customHeight="1">
      <c r="C72" s="31">
        <f t="shared" si="13"/>
        <v>0.1</v>
      </c>
      <c r="D72"/>
      <c r="E72" s="41">
        <f t="shared" ref="E72:E87" si="17">+IF(C7&gt;B7-0.01,ROUND(N7,2-LEN(INT(N7))),"")</f>
        <v>1200</v>
      </c>
      <c r="G72" s="42">
        <f t="shared" ref="G72:G89" si="18">+IF(C7&gt;B7-0.01,ROUND(O7,2-LEN(INT(O7))),"")</f>
        <v>10</v>
      </c>
      <c r="K72" s="4" t="str">
        <f>+CONCATENATE(" Comparing lowest ",M64*100, "%  with highest ", M65*100,"%")</f>
        <v xml:space="preserve"> Comparing lowest 20%  with highest 20%</v>
      </c>
      <c r="M72" s="12">
        <v>0.7</v>
      </c>
      <c r="N72" s="8">
        <f>+E73</f>
        <v>500</v>
      </c>
      <c r="O72" s="5">
        <f t="shared" si="14"/>
        <v>0.1</v>
      </c>
      <c r="P72" s="12">
        <f t="shared" si="15"/>
        <v>0</v>
      </c>
      <c r="Q72" s="7">
        <f t="shared" si="16"/>
        <v>1178.2978207192859</v>
      </c>
      <c r="R72" s="14"/>
    </row>
    <row r="73" spans="3:18" ht="15" customHeight="1">
      <c r="C73" s="31">
        <f t="shared" si="13"/>
        <v>0.15000000000000002</v>
      </c>
      <c r="D73"/>
      <c r="E73" s="41">
        <f t="shared" si="17"/>
        <v>500</v>
      </c>
      <c r="G73" s="42">
        <f t="shared" si="18"/>
        <v>7.9</v>
      </c>
      <c r="K73" s="4" t="s">
        <v>12</v>
      </c>
      <c r="M73" s="12">
        <f>+M72</f>
        <v>0.7</v>
      </c>
      <c r="N73" s="8">
        <f>+E74</f>
        <v>260</v>
      </c>
      <c r="O73" s="5">
        <f t="shared" si="14"/>
        <v>0.15000000000000002</v>
      </c>
      <c r="P73" s="12">
        <f t="shared" si="15"/>
        <v>0</v>
      </c>
      <c r="Q73" s="7">
        <f t="shared" si="16"/>
        <v>500.4365032040406</v>
      </c>
      <c r="R73" s="14"/>
    </row>
    <row r="74" spans="3:18" ht="15" customHeight="1">
      <c r="C74" s="31">
        <f t="shared" si="13"/>
        <v>0.2</v>
      </c>
      <c r="D74"/>
      <c r="E74" s="41">
        <f t="shared" si="17"/>
        <v>260</v>
      </c>
      <c r="G74" s="42">
        <f t="shared" si="18"/>
        <v>6.5</v>
      </c>
      <c r="N74" s="14"/>
      <c r="O74" s="5">
        <f t="shared" si="14"/>
        <v>0.2</v>
      </c>
      <c r="P74" s="12">
        <f t="shared" si="15"/>
        <v>0</v>
      </c>
      <c r="Q74" s="7">
        <f t="shared" si="16"/>
        <v>260.30487443911767</v>
      </c>
      <c r="R74" s="14"/>
    </row>
    <row r="75" spans="3:18" ht="15" customHeight="1">
      <c r="C75" s="31">
        <f t="shared" si="13"/>
        <v>0.25</v>
      </c>
      <c r="D75"/>
      <c r="E75" s="41">
        <f t="shared" si="17"/>
        <v>150</v>
      </c>
      <c r="G75" s="42">
        <f t="shared" si="18"/>
        <v>5.5</v>
      </c>
      <c r="O75" s="5">
        <f t="shared" si="14"/>
        <v>0.25</v>
      </c>
      <c r="P75" s="12">
        <f t="shared" si="15"/>
        <v>0</v>
      </c>
      <c r="Q75" s="7">
        <f t="shared" si="16"/>
        <v>151.1293976614491</v>
      </c>
      <c r="R75" s="14"/>
    </row>
    <row r="76" spans="3:18" ht="15" customHeight="1">
      <c r="C76" s="31">
        <f t="shared" si="13"/>
        <v>0.3</v>
      </c>
      <c r="D76"/>
      <c r="E76" s="41">
        <f t="shared" si="17"/>
        <v>94</v>
      </c>
      <c r="G76" s="42">
        <f t="shared" si="18"/>
        <v>4.8</v>
      </c>
      <c r="O76" s="5">
        <f t="shared" si="14"/>
        <v>0.3</v>
      </c>
      <c r="P76" s="12">
        <f t="shared" si="15"/>
        <v>0</v>
      </c>
      <c r="Q76" s="7">
        <f t="shared" si="16"/>
        <v>93.87031444532208</v>
      </c>
      <c r="R76" s="14"/>
    </row>
    <row r="77" spans="3:18" ht="15" customHeight="1">
      <c r="C77" s="31">
        <f t="shared" si="13"/>
        <v>0.35</v>
      </c>
      <c r="D77"/>
      <c r="E77" s="41">
        <f t="shared" si="17"/>
        <v>61</v>
      </c>
      <c r="G77" s="42">
        <f t="shared" si="18"/>
        <v>4.0999999999999996</v>
      </c>
      <c r="O77" s="5">
        <f t="shared" si="14"/>
        <v>0.35</v>
      </c>
      <c r="P77" s="12">
        <f t="shared" si="15"/>
        <v>0</v>
      </c>
      <c r="Q77" s="7">
        <f t="shared" si="16"/>
        <v>60.933456284410717</v>
      </c>
      <c r="R77" s="14"/>
    </row>
    <row r="78" spans="3:18" ht="15" customHeight="1">
      <c r="C78" s="31">
        <f t="shared" si="13"/>
        <v>0.39999999999999997</v>
      </c>
      <c r="D78"/>
      <c r="E78" s="41">
        <f t="shared" si="17"/>
        <v>41</v>
      </c>
      <c r="G78" s="42">
        <f t="shared" si="18"/>
        <v>3.6</v>
      </c>
      <c r="O78" s="5">
        <f t="shared" si="14"/>
        <v>0.39999999999999997</v>
      </c>
      <c r="P78" s="12">
        <f t="shared" si="15"/>
        <v>0</v>
      </c>
      <c r="Q78" s="7">
        <f t="shared" si="16"/>
        <v>40.733410725980704</v>
      </c>
      <c r="R78" s="14"/>
    </row>
    <row r="79" spans="3:18" ht="15" customHeight="1">
      <c r="C79" s="31">
        <f t="shared" si="13"/>
        <v>0.44999999999999996</v>
      </c>
      <c r="D79"/>
      <c r="E79" s="41">
        <f t="shared" si="17"/>
        <v>28</v>
      </c>
      <c r="G79" s="42">
        <f t="shared" si="18"/>
        <v>3.2</v>
      </c>
      <c r="O79" s="5">
        <f t="shared" si="14"/>
        <v>0.44999999999999996</v>
      </c>
      <c r="P79" s="12">
        <f t="shared" si="15"/>
        <v>0</v>
      </c>
      <c r="Q79" s="7">
        <f t="shared" si="16"/>
        <v>27.756398648012453</v>
      </c>
      <c r="R79" s="14"/>
    </row>
    <row r="80" spans="3:18" ht="15" customHeight="1">
      <c r="C80" s="31">
        <f t="shared" si="13"/>
        <v>0.49999999999999994</v>
      </c>
      <c r="D80"/>
      <c r="E80" s="41">
        <f t="shared" si="17"/>
        <v>19</v>
      </c>
      <c r="G80" s="42">
        <f t="shared" si="18"/>
        <v>2.8</v>
      </c>
      <c r="O80" s="5">
        <f t="shared" si="14"/>
        <v>0.49999999999999994</v>
      </c>
      <c r="P80" s="12">
        <f t="shared" si="15"/>
        <v>0</v>
      </c>
      <c r="Q80" s="7">
        <f t="shared" si="16"/>
        <v>19.127820369401324</v>
      </c>
      <c r="R80" s="14"/>
    </row>
    <row r="81" spans="3:18" ht="15" customHeight="1">
      <c r="C81" s="31">
        <f>+IF(C16&gt;B16-0.01,B16,"")</f>
        <v>0.54999999999999993</v>
      </c>
      <c r="D81"/>
      <c r="E81" s="41">
        <f t="shared" si="17"/>
        <v>13</v>
      </c>
      <c r="G81" s="42">
        <f t="shared" si="18"/>
        <v>2.5</v>
      </c>
      <c r="O81" s="5">
        <f t="shared" si="14"/>
        <v>0.54999999999999993</v>
      </c>
      <c r="P81" s="12">
        <f t="shared" si="15"/>
        <v>0</v>
      </c>
      <c r="Q81" s="7">
        <f t="shared" si="16"/>
        <v>13.241320629386694</v>
      </c>
      <c r="R81" s="14"/>
    </row>
    <row r="82" spans="3:18" ht="15" customHeight="1">
      <c r="C82" s="31">
        <f t="shared" ref="C82:C89" si="19">+IF(C17&gt;B17-0.01,B17,"")</f>
        <v>0.6</v>
      </c>
      <c r="D82"/>
      <c r="E82" s="41">
        <f t="shared" si="17"/>
        <v>9.1</v>
      </c>
      <c r="G82" s="42">
        <f t="shared" si="18"/>
        <v>2.2000000000000002</v>
      </c>
      <c r="O82" s="5">
        <f t="shared" si="14"/>
        <v>0.6</v>
      </c>
      <c r="P82" s="12">
        <f t="shared" si="15"/>
        <v>0</v>
      </c>
      <c r="Q82" s="7">
        <f t="shared" si="16"/>
        <v>9.1488930678786726</v>
      </c>
      <c r="R82" s="14"/>
    </row>
    <row r="83" spans="3:18" ht="15" customHeight="1">
      <c r="C83" s="31">
        <f t="shared" si="19"/>
        <v>0.65</v>
      </c>
      <c r="D83"/>
      <c r="E83" s="41">
        <f t="shared" si="17"/>
        <v>6.3</v>
      </c>
      <c r="G83" s="42">
        <f t="shared" si="18"/>
        <v>1.9</v>
      </c>
      <c r="O83" s="5">
        <f t="shared" si="14"/>
        <v>0.65</v>
      </c>
      <c r="P83" s="12">
        <f t="shared" si="15"/>
        <v>0</v>
      </c>
      <c r="Q83" s="7">
        <f t="shared" si="16"/>
        <v>6.2659030427612974</v>
      </c>
      <c r="R83" s="14"/>
    </row>
    <row r="84" spans="3:18" ht="15" customHeight="1">
      <c r="C84" s="31">
        <f t="shared" si="19"/>
        <v>0.70000000000000007</v>
      </c>
      <c r="D84"/>
      <c r="E84" s="41">
        <f t="shared" si="17"/>
        <v>4.2</v>
      </c>
      <c r="G84" s="42">
        <f t="shared" si="18"/>
        <v>1.7</v>
      </c>
      <c r="O84" s="5">
        <f t="shared" si="14"/>
        <v>0.70000000000000007</v>
      </c>
      <c r="P84" s="12">
        <f t="shared" si="15"/>
        <v>0</v>
      </c>
      <c r="Q84" s="7">
        <f t="shared" si="16"/>
        <v>4.2185656636302538</v>
      </c>
      <c r="R84" s="14"/>
    </row>
    <row r="85" spans="3:18" ht="15" customHeight="1">
      <c r="C85" s="31">
        <f t="shared" si="19"/>
        <v>0.75000000000000011</v>
      </c>
      <c r="D85"/>
      <c r="E85" s="41">
        <f t="shared" si="17"/>
        <v>2.8</v>
      </c>
      <c r="G85" s="42">
        <f t="shared" si="18"/>
        <v>1.4</v>
      </c>
      <c r="O85" s="5">
        <f t="shared" si="14"/>
        <v>0.75000000000000011</v>
      </c>
      <c r="P85" s="12">
        <f t="shared" si="15"/>
        <v>0</v>
      </c>
      <c r="Q85" s="7">
        <f t="shared" si="16"/>
        <v>2.7606587856784053</v>
      </c>
      <c r="R85" s="14"/>
    </row>
    <row r="86" spans="3:18" ht="15" customHeight="1">
      <c r="C86" s="31">
        <f t="shared" si="19"/>
        <v>0.80000000000000016</v>
      </c>
      <c r="D86"/>
      <c r="E86" s="41">
        <f t="shared" si="17"/>
        <v>1.7</v>
      </c>
      <c r="G86" s="42">
        <f t="shared" si="18"/>
        <v>1.2</v>
      </c>
      <c r="O86" s="5">
        <f t="shared" si="14"/>
        <v>0.80000000000000016</v>
      </c>
      <c r="P86" s="12">
        <f t="shared" si="15"/>
        <v>0</v>
      </c>
      <c r="Q86" s="7">
        <f t="shared" si="16"/>
        <v>1.7259470350963075</v>
      </c>
      <c r="R86" s="14"/>
    </row>
    <row r="87" spans="3:18" ht="15" customHeight="1">
      <c r="C87" s="31">
        <f t="shared" si="19"/>
        <v>0.8500000000000002</v>
      </c>
      <c r="D87"/>
      <c r="E87" s="42">
        <f t="shared" si="17"/>
        <v>1</v>
      </c>
      <c r="G87" s="42">
        <f t="shared" si="18"/>
        <v>1</v>
      </c>
      <c r="O87" s="5">
        <f t="shared" si="14"/>
        <v>0.8500000000000002</v>
      </c>
      <c r="P87" s="12">
        <f t="shared" si="15"/>
        <v>0</v>
      </c>
      <c r="Q87" s="7">
        <f t="shared" si="16"/>
        <v>0.99999999999999856</v>
      </c>
      <c r="R87" s="14"/>
    </row>
    <row r="88" spans="3:18" ht="15" customHeight="1">
      <c r="C88" s="31" t="str">
        <f t="shared" si="19"/>
        <v/>
      </c>
      <c r="D88" s="32"/>
      <c r="E88" s="46" t="str">
        <f>+IF(C23&gt;B23-0.01,ROUND(N23,3-LEN(INT(N23))),"")</f>
        <v/>
      </c>
      <c r="F88" s="33"/>
      <c r="G88" s="42" t="str">
        <f t="shared" si="18"/>
        <v/>
      </c>
      <c r="H88" s="33"/>
      <c r="O88" s="5">
        <f t="shared" si="14"/>
        <v>0.8500000000000002</v>
      </c>
      <c r="P88" s="12">
        <f t="shared" si="15"/>
        <v>0</v>
      </c>
      <c r="Q88" s="7">
        <f t="shared" si="16"/>
        <v>0.99999999999999856</v>
      </c>
      <c r="R88" s="14"/>
    </row>
    <row r="89" spans="3:18" ht="15" customHeight="1">
      <c r="C89" s="31" t="str">
        <f t="shared" si="19"/>
        <v/>
      </c>
      <c r="D89" s="32"/>
      <c r="E89" s="46" t="str">
        <f>+IF(C24&gt;B24-0.01,ROUND(N24,3-LEN(INT(N24))),"")</f>
        <v/>
      </c>
      <c r="F89" s="33"/>
      <c r="G89" s="42" t="str">
        <f t="shared" si="18"/>
        <v/>
      </c>
      <c r="H89" s="33"/>
      <c r="O89" s="5">
        <f t="shared" si="14"/>
        <v>0.8500000000000002</v>
      </c>
      <c r="P89" s="12">
        <f t="shared" si="15"/>
        <v>0</v>
      </c>
      <c r="Q89" s="7">
        <f t="shared" si="16"/>
        <v>0.99999999999999856</v>
      </c>
      <c r="R89" s="14"/>
    </row>
    <row r="90" spans="3:18" ht="6" customHeight="1">
      <c r="C90" s="3"/>
      <c r="D90" s="3"/>
      <c r="E90" s="3"/>
      <c r="F90" s="2"/>
      <c r="G90" s="3"/>
      <c r="H90" s="3"/>
      <c r="R90" s="14"/>
    </row>
    <row r="91" spans="3:18" ht="15" customHeight="1">
      <c r="C91" s="49"/>
    </row>
    <row r="92" spans="3:18" ht="15" customHeight="1">
      <c r="E92" s="18"/>
      <c r="F92"/>
      <c r="G92"/>
      <c r="H92"/>
      <c r="I92"/>
      <c r="J92"/>
      <c r="K92"/>
    </row>
    <row r="93" spans="3:18" ht="15" customHeight="1"/>
    <row r="94" spans="3:18" ht="15" customHeight="1"/>
    <row r="95" spans="3:18" ht="15" customHeight="1"/>
    <row r="96" spans="3:1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</sheetData>
  <sheetProtection password="D8B0" sheet="1" objects="1" scenarios="1"/>
  <protectedRanges>
    <protectedRange sqref="M64:M66 K68" name="Range1"/>
  </protectedRanges>
  <mergeCells count="7">
    <mergeCell ref="E69:F69"/>
    <mergeCell ref="G69:H69"/>
    <mergeCell ref="C69:D69"/>
    <mergeCell ref="D61:Q61"/>
    <mergeCell ref="D62:Q62"/>
    <mergeCell ref="C64:D66"/>
    <mergeCell ref="O64:R67"/>
  </mergeCells>
  <phoneticPr fontId="4" type="noConversion"/>
  <hyperlinks>
    <hyperlink ref="C64:D66" location="Introduction!A1" display="Left click here to return to first page"/>
  </hyperlinks>
  <pageMargins left="0.39" right="0.39" top="0.61" bottom="1" header="0.5" footer="0.5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163"/>
  <sheetViews>
    <sheetView topLeftCell="A28" workbookViewId="0">
      <selection activeCell="J25" sqref="J25"/>
    </sheetView>
  </sheetViews>
  <sheetFormatPr defaultRowHeight="12.75"/>
  <sheetData>
    <row r="1" spans="1:25">
      <c r="B1" t="s">
        <v>36</v>
      </c>
      <c r="D1" t="s">
        <v>37</v>
      </c>
      <c r="H1" t="s">
        <v>38</v>
      </c>
    </row>
    <row r="2" spans="1:25">
      <c r="B2" t="s">
        <v>9</v>
      </c>
      <c r="C2" t="s">
        <v>35</v>
      </c>
      <c r="D2" t="s">
        <v>9</v>
      </c>
      <c r="E2" t="s">
        <v>35</v>
      </c>
      <c r="F2" t="s">
        <v>58</v>
      </c>
      <c r="H2" t="s">
        <v>38</v>
      </c>
    </row>
    <row r="3" spans="1:25">
      <c r="B3" s="44">
        <f>+IF('Likelihood Ratio'!Q60 &gt; 0, 'Likelihood Ratio'!Q60,"")</f>
        <v>0.42309785905238662</v>
      </c>
      <c r="C3">
        <v>1</v>
      </c>
      <c r="D3">
        <f>+IF('Likelihood Ratio'!Q60 &gt; 0, 0,"")</f>
        <v>0</v>
      </c>
      <c r="E3">
        <v>1</v>
      </c>
      <c r="H3" t="s">
        <v>8</v>
      </c>
      <c r="R3" s="4"/>
      <c r="S3" s="4"/>
      <c r="T3" s="4"/>
      <c r="U3" s="4"/>
      <c r="V3" s="4"/>
      <c r="W3" s="4"/>
      <c r="X3" s="4"/>
    </row>
    <row r="4" spans="1:25">
      <c r="A4">
        <v>-4</v>
      </c>
      <c r="B4">
        <f t="shared" ref="B4:B67" si="0">+(A4+B$3)/C$3</f>
        <v>-3.5769021409476132</v>
      </c>
      <c r="C4">
        <f>NORMDIST(B4,B$3,C$3,FALSE)</f>
        <v>1.3383022576488534E-4</v>
      </c>
      <c r="D4">
        <f t="shared" ref="D4:D67" si="1">+(A4+D$3)/E$3</f>
        <v>-4</v>
      </c>
      <c r="E4">
        <f t="shared" ref="E4:E67" si="2">NORMDIST(D4,D$3,E$3,FALSE)</f>
        <v>1.3383022576488534E-4</v>
      </c>
      <c r="F4" s="28">
        <f>+EXP(A4*B$3-(B$3^2)/2)</f>
        <v>0.16831848749268291</v>
      </c>
      <c r="H4" s="45" t="str">
        <f>+IF('Specified Odds Ratio'!I101 &gt; 0,IF('Specified Odds Ratio'!Q60 &gt; 0,CONCATENATE(H5,"=",I5*100,"%"),""),"")</f>
        <v>FPR=10%</v>
      </c>
      <c r="J4">
        <f>+IF('Specified Odds Ratio'!I101 &gt; 0,IF(LOWER(H$5)="fpr",+NORMINV(1-I$5,D$3,E$3),NORMINV(1-I$5,B$3,C$3)),"")</f>
        <v>1.2815515655446004</v>
      </c>
      <c r="K4">
        <v>0</v>
      </c>
      <c r="S4" s="4"/>
      <c r="T4" s="4"/>
      <c r="U4" s="19" t="s">
        <v>22</v>
      </c>
      <c r="V4" s="4"/>
      <c r="X4" t="s">
        <v>23</v>
      </c>
    </row>
    <row r="5" spans="1:25">
      <c r="A5">
        <f>+A4+0.1</f>
        <v>-3.9</v>
      </c>
      <c r="B5">
        <f t="shared" si="0"/>
        <v>-3.4769021409476135</v>
      </c>
      <c r="C5">
        <f t="shared" ref="C5:C68" si="3">NORMDIST(B5,B$3,C$3,FALSE)</f>
        <v>1.9865547139277234E-4</v>
      </c>
      <c r="D5">
        <f t="shared" si="1"/>
        <v>-3.9</v>
      </c>
      <c r="E5">
        <f t="shared" si="2"/>
        <v>1.9865547139277269E-4</v>
      </c>
      <c r="F5" s="28">
        <f t="shared" ref="F5:F68" si="4">+EXP(A5*B$3-(B$3^2)/2)</f>
        <v>0.17559280903038274</v>
      </c>
      <c r="H5" t="str">
        <f>+IF('Specified Odds Ratio'!I101 &gt; 0,IF('Specified Odds Ratio'!Q60 &gt; 0,UPPER('Specified Odds Ratio'!G99),""),"")</f>
        <v>FPR</v>
      </c>
      <c r="I5" s="43">
        <f>+IF('Specified Odds Ratio'!Q60 &gt; 0,'Specified Odds Ratio'!I101,"")</f>
        <v>0.1</v>
      </c>
      <c r="J5">
        <f>+IF('Specified Odds Ratio'!I101 &gt; 0,IF(LOWER(H$5)="fpr",+NORMINV(1-I$5,D$3,E$3),NORMINV(1-I$5,B$3,C$3)),"")</f>
        <v>1.2815515655446004</v>
      </c>
      <c r="K5">
        <f>+IF('Specified Odds Ratio'!I101 &gt; 0,+MAX(E4:E163)*1.2,0)</f>
        <v>0.47873073648171915</v>
      </c>
      <c r="O5" s="44">
        <f>+'Specified Odds Ratio'!Q60</f>
        <v>0.61696028114932933</v>
      </c>
      <c r="S5" s="4"/>
      <c r="T5" s="4"/>
      <c r="V5" s="4"/>
      <c r="W5" s="4"/>
      <c r="X5" s="5"/>
    </row>
    <row r="6" spans="1:25" ht="38.25">
      <c r="A6">
        <f>+A5+0.05</f>
        <v>-3.85</v>
      </c>
      <c r="B6">
        <f t="shared" si="0"/>
        <v>-3.4269021409476137</v>
      </c>
      <c r="C6">
        <f t="shared" si="3"/>
        <v>2.4112658022599299E-4</v>
      </c>
      <c r="D6">
        <f t="shared" si="1"/>
        <v>-3.85</v>
      </c>
      <c r="E6">
        <f t="shared" si="2"/>
        <v>2.4112658022599321E-4</v>
      </c>
      <c r="F6" s="28">
        <f t="shared" si="4"/>
        <v>0.17934702612990466</v>
      </c>
      <c r="S6" s="4"/>
      <c r="T6" s="4"/>
      <c r="U6" s="1" t="s">
        <v>13</v>
      </c>
      <c r="V6" s="22" t="s">
        <v>21</v>
      </c>
      <c r="W6" s="4" t="s">
        <v>57</v>
      </c>
      <c r="X6" s="22" t="s">
        <v>13</v>
      </c>
      <c r="Y6" s="22" t="s">
        <v>11</v>
      </c>
    </row>
    <row r="7" spans="1:25">
      <c r="A7">
        <f t="shared" ref="A7:A70" si="5">+A6+0.05</f>
        <v>-3.8000000000000003</v>
      </c>
      <c r="B7">
        <f t="shared" si="0"/>
        <v>-3.3769021409476139</v>
      </c>
      <c r="C7">
        <f t="shared" si="3"/>
        <v>2.9194692579145946E-4</v>
      </c>
      <c r="D7">
        <f t="shared" si="1"/>
        <v>-3.8000000000000003</v>
      </c>
      <c r="E7">
        <f t="shared" si="2"/>
        <v>2.9194692579146E-4</v>
      </c>
      <c r="F7" s="28">
        <f t="shared" si="4"/>
        <v>0.18318150930699645</v>
      </c>
      <c r="H7" t="str">
        <f>+IF('Specified Odds Ratio'!Q60 &gt; 0, "Unaffected","")</f>
        <v>Unaffected</v>
      </c>
      <c r="I7">
        <f>+D4</f>
        <v>-4</v>
      </c>
      <c r="J7">
        <f>+MAX(E4:E163)/2</f>
        <v>0.19947114020071632</v>
      </c>
      <c r="R7">
        <f>IF('Specified Odds Ratio'!Q60&gt;0,IF(UPPER('Specified Odds Ratio'!G99)="DR",'Specified Odds Ratio'!I101,'Specified Odds Ratio'!V26),"0")</f>
        <v>0.25315597265277245</v>
      </c>
      <c r="S7" s="4">
        <f>+R7</f>
        <v>0.25315597265277245</v>
      </c>
      <c r="T7" s="4"/>
      <c r="U7" s="4"/>
      <c r="V7" s="4"/>
      <c r="W7" s="4"/>
      <c r="X7" s="4"/>
      <c r="Y7" s="4"/>
    </row>
    <row r="8" spans="1:25">
      <c r="A8">
        <f t="shared" si="5"/>
        <v>-3.7500000000000004</v>
      </c>
      <c r="B8">
        <f t="shared" si="0"/>
        <v>-3.3269021409476141</v>
      </c>
      <c r="C8">
        <f t="shared" si="3"/>
        <v>3.5259568236744411E-4</v>
      </c>
      <c r="D8">
        <f t="shared" si="1"/>
        <v>-3.7500000000000004</v>
      </c>
      <c r="E8">
        <f t="shared" si="2"/>
        <v>3.525956823674447E-4</v>
      </c>
      <c r="F8" s="28">
        <f t="shared" si="4"/>
        <v>0.18709797466998046</v>
      </c>
      <c r="H8" t="str">
        <f>+IF('Specified Odds Ratio'!Q60 &gt; 0,"Affected","")</f>
        <v>Affected</v>
      </c>
      <c r="I8">
        <f>+B163</f>
        <v>4.4230978590523753</v>
      </c>
      <c r="J8">
        <f>+MAX(C4:C163)/2</f>
        <v>0.19947114020071632</v>
      </c>
      <c r="R8">
        <f>IF('Specified Odds Ratio'!Q60&gt;0,IF(UPPER('Specified Odds Ratio'!G99)="DR",'Specified Odds Ratio'!W26,'Specified Odds Ratio'!I101),"0")</f>
        <v>0.1</v>
      </c>
      <c r="S8" s="4">
        <f>+R8</f>
        <v>0.1</v>
      </c>
      <c r="T8" s="4"/>
      <c r="U8" s="11">
        <f>+IF('Likelihood Ratio'!$Q$60 &gt; 0, 'Likelihood Ratio'!T4,"")</f>
        <v>0.01</v>
      </c>
      <c r="V8" s="11">
        <f>+'Likelihood Ratio'!V4</f>
        <v>2.8503964874786347E-2</v>
      </c>
      <c r="W8" s="4"/>
      <c r="X8" s="11">
        <f>+'Likelihood Ratio'!W4</f>
        <v>2.984807338776286E-3</v>
      </c>
      <c r="Y8" s="11">
        <f>IF('Likelihood Ratio'!$Q$60 &gt; 0,'Likelihood Ratio'!Y4,"")</f>
        <v>0.01</v>
      </c>
    </row>
    <row r="9" spans="1:25">
      <c r="A9">
        <f t="shared" si="5"/>
        <v>-3.7000000000000006</v>
      </c>
      <c r="B9">
        <f t="shared" si="0"/>
        <v>-3.2769021409476142</v>
      </c>
      <c r="C9">
        <f t="shared" si="3"/>
        <v>4.2478027055074992E-4</v>
      </c>
      <c r="D9">
        <f t="shared" si="1"/>
        <v>-3.7000000000000006</v>
      </c>
      <c r="E9">
        <f t="shared" si="2"/>
        <v>4.2478027055075062E-4</v>
      </c>
      <c r="F9" s="28">
        <f t="shared" si="4"/>
        <v>0.1910981750179937</v>
      </c>
      <c r="H9" t="s">
        <v>61</v>
      </c>
      <c r="I9">
        <f>I8</f>
        <v>4.4230978590523753</v>
      </c>
      <c r="J9" s="28">
        <f>+MAX(F4:F163)</f>
        <v>4.9673452230511197</v>
      </c>
      <c r="S9" s="4"/>
      <c r="T9" s="4"/>
      <c r="U9" s="11">
        <f>+IF('Likelihood Ratio'!$Q$60 &gt; 0, 'Likelihood Ratio'!T5,"")</f>
        <v>0.05</v>
      </c>
      <c r="V9" s="11">
        <f>+'Likelihood Ratio'!V5</f>
        <v>0.1109</v>
      </c>
      <c r="W9" s="4"/>
      <c r="X9" s="11">
        <f>+'Specified Odds Ratio'!W5</f>
        <v>1.1854451595216031E-2</v>
      </c>
      <c r="Y9" s="11">
        <f>IF('Likelihood Ratio'!$Q$60 &gt; 0,'Likelihood Ratio'!Y5,"")</f>
        <v>0.05</v>
      </c>
    </row>
    <row r="10" spans="1:25">
      <c r="A10">
        <f t="shared" si="5"/>
        <v>-3.6500000000000008</v>
      </c>
      <c r="B10">
        <f t="shared" si="0"/>
        <v>-3.2269021409476144</v>
      </c>
      <c r="C10">
        <f t="shared" si="3"/>
        <v>5.1046497434418321E-4</v>
      </c>
      <c r="D10">
        <f t="shared" si="1"/>
        <v>-3.6500000000000008</v>
      </c>
      <c r="E10">
        <f t="shared" si="2"/>
        <v>5.1046497434418408E-4</v>
      </c>
      <c r="F10" s="28">
        <f t="shared" si="4"/>
        <v>0.19518390062544641</v>
      </c>
      <c r="R10" s="4" t="str">
        <f>+CONCATENATE(" OR  = ",'Specified Odds Ratio'!N87)</f>
        <v xml:space="preserve"> OR  = 9.5</v>
      </c>
      <c r="S10" s="12">
        <v>0.5</v>
      </c>
      <c r="T10" s="11">
        <v>0.35</v>
      </c>
      <c r="U10" s="11">
        <f>+IF('Likelihood Ratio'!$Q$60 &gt; 0, 'Likelihood Ratio'!T6,"")</f>
        <v>0.1</v>
      </c>
      <c r="V10" s="11">
        <f>+'Likelihood Ratio'!V6</f>
        <v>0.19532099128784275</v>
      </c>
      <c r="W10" s="4"/>
      <c r="X10" s="11">
        <f>+'Specified Odds Ratio'!W6</f>
        <v>2.8814344348933041E-2</v>
      </c>
      <c r="Y10" s="11">
        <f>IF('Likelihood Ratio'!$Q$60 &gt; 0,'Likelihood Ratio'!Y6,"")</f>
        <v>0.1</v>
      </c>
    </row>
    <row r="11" spans="1:25">
      <c r="A11">
        <f t="shared" si="5"/>
        <v>-3.600000000000001</v>
      </c>
      <c r="B11">
        <f t="shared" si="0"/>
        <v>-3.1769021409476146</v>
      </c>
      <c r="C11">
        <f t="shared" si="3"/>
        <v>6.1190193011376919E-4</v>
      </c>
      <c r="D11">
        <f t="shared" si="1"/>
        <v>-3.600000000000001</v>
      </c>
      <c r="E11">
        <f t="shared" si="2"/>
        <v>6.1190193011377016E-4</v>
      </c>
      <c r="F11" s="28">
        <f t="shared" si="4"/>
        <v>0.19935698004325242</v>
      </c>
      <c r="R11" s="4" t="str">
        <f>+CONCATENATE(" Comparing lowest ",'Specified Odds Ratio'!N85*100, "%  with highest ", 'Specified Odds Ratio'!N86*100,"%")</f>
        <v xml:space="preserve"> Comparing lowest 20%  with highest 3%</v>
      </c>
      <c r="S11" s="12">
        <f>+S10</f>
        <v>0.5</v>
      </c>
      <c r="T11" s="11">
        <v>0.2</v>
      </c>
      <c r="U11" s="11">
        <f>+IF('Likelihood Ratio'!$Q$60 &gt; 0, 'Likelihood Ratio'!T7,"")</f>
        <v>0.15000000000000002</v>
      </c>
      <c r="V11" s="11">
        <f>+'Likelihood Ratio'!V7</f>
        <v>0.26982725234807603</v>
      </c>
      <c r="W11" s="4"/>
      <c r="X11" s="11">
        <f>+'Specified Odds Ratio'!W7</f>
        <v>4.9125385086375539E-2</v>
      </c>
      <c r="Y11" s="11">
        <f>IF('Likelihood Ratio'!$Q$60 &gt; 0,'Likelihood Ratio'!Y7,"")</f>
        <v>0.15000000000000002</v>
      </c>
    </row>
    <row r="12" spans="1:25">
      <c r="A12">
        <f t="shared" si="5"/>
        <v>-3.5500000000000012</v>
      </c>
      <c r="B12">
        <f t="shared" si="0"/>
        <v>-3.1269021409476148</v>
      </c>
      <c r="C12">
        <f t="shared" si="3"/>
        <v>7.3166446283030623E-4</v>
      </c>
      <c r="D12">
        <f t="shared" si="1"/>
        <v>-3.5500000000000012</v>
      </c>
      <c r="E12">
        <f t="shared" si="2"/>
        <v>7.3166446283030753E-4</v>
      </c>
      <c r="F12" s="28">
        <f t="shared" si="4"/>
        <v>0.20361928091719042</v>
      </c>
      <c r="H12" t="s">
        <v>62</v>
      </c>
      <c r="J12">
        <f>+B3/2</f>
        <v>0.21154892952619331</v>
      </c>
      <c r="S12" s="4"/>
      <c r="T12" s="4"/>
      <c r="U12" s="11">
        <f>+IF('Likelihood Ratio'!$Q$60 &gt; 0, 'Likelihood Ratio'!T8,"")</f>
        <v>0.2</v>
      </c>
      <c r="V12" s="11">
        <f>+'Likelihood Ratio'!V8</f>
        <v>0.33778225010551166</v>
      </c>
      <c r="W12" s="4"/>
      <c r="X12" s="11">
        <f>+'Specified Odds Ratio'!W8</f>
        <v>7.2340162219722393E-2</v>
      </c>
      <c r="Y12" s="11">
        <f>IF('Likelihood Ratio'!$Q$60 &gt; 0,'Likelihood Ratio'!Y8,"")</f>
        <v>0.2</v>
      </c>
    </row>
    <row r="13" spans="1:25">
      <c r="A13">
        <f t="shared" si="5"/>
        <v>-3.5000000000000013</v>
      </c>
      <c r="B13">
        <f t="shared" si="0"/>
        <v>-3.0769021409476149</v>
      </c>
      <c r="C13">
        <f t="shared" si="3"/>
        <v>8.7268269504575462E-4</v>
      </c>
      <c r="D13">
        <f t="shared" si="1"/>
        <v>-3.5000000000000013</v>
      </c>
      <c r="E13">
        <f t="shared" si="2"/>
        <v>8.7268269504575614E-4</v>
      </c>
      <c r="F13" s="28">
        <f t="shared" si="4"/>
        <v>0.2079727108237614</v>
      </c>
      <c r="S13" s="4"/>
      <c r="T13" s="4"/>
      <c r="U13" s="11">
        <f>+IF('Likelihood Ratio'!$Q$60 &gt; 0, 'Likelihood Ratio'!T9,"")</f>
        <v>0.25</v>
      </c>
      <c r="V13" s="11">
        <f>+'Likelihood Ratio'!V9</f>
        <v>0.40075556819208857</v>
      </c>
      <c r="W13" s="4"/>
      <c r="X13" s="11">
        <f>+'Specified Odds Ratio'!W9</f>
        <v>9.8273835725660286E-2</v>
      </c>
      <c r="Y13" s="11">
        <f>IF('Likelihood Ratio'!$Q$60 &gt; 0,'Likelihood Ratio'!Y9,"")</f>
        <v>0.25</v>
      </c>
    </row>
    <row r="14" spans="1:25">
      <c r="A14">
        <f t="shared" si="5"/>
        <v>-3.4500000000000015</v>
      </c>
      <c r="B14">
        <f t="shared" si="0"/>
        <v>-3.0269021409476151</v>
      </c>
      <c r="C14">
        <f t="shared" si="3"/>
        <v>1.0382812956614036E-3</v>
      </c>
      <c r="D14">
        <f t="shared" si="1"/>
        <v>-3.4500000000000015</v>
      </c>
      <c r="E14">
        <f t="shared" si="2"/>
        <v>1.0382812956614056E-3</v>
      </c>
      <c r="F14" s="28">
        <f t="shared" si="4"/>
        <v>0.2124192181239174</v>
      </c>
      <c r="H14" t="s">
        <v>63</v>
      </c>
      <c r="J14">
        <f>+J12</f>
        <v>0.21154892952619331</v>
      </c>
      <c r="K14">
        <v>0</v>
      </c>
      <c r="L14" t="s">
        <v>64</v>
      </c>
      <c r="R14">
        <v>0</v>
      </c>
      <c r="S14" s="4">
        <v>1</v>
      </c>
      <c r="T14" s="4"/>
      <c r="U14" s="11">
        <f>+IF('Likelihood Ratio'!$Q$60 &gt; 0, 'Likelihood Ratio'!T10,"")</f>
        <v>0.3</v>
      </c>
      <c r="V14" s="11">
        <f>+'Likelihood Ratio'!V10</f>
        <v>0.45965510486021366</v>
      </c>
      <c r="W14" s="4"/>
      <c r="X14" s="11">
        <f>+'Specified Odds Ratio'!W10</f>
        <v>0.1268599064449214</v>
      </c>
      <c r="Y14" s="11">
        <f>IF('Likelihood Ratio'!$Q$60 &gt; 0,'Likelihood Ratio'!Y10,"")</f>
        <v>0.3</v>
      </c>
    </row>
    <row r="15" spans="1:25">
      <c r="A15">
        <f t="shared" si="5"/>
        <v>-3.4000000000000017</v>
      </c>
      <c r="B15">
        <f t="shared" si="0"/>
        <v>-2.9769021409476153</v>
      </c>
      <c r="C15">
        <f t="shared" si="3"/>
        <v>1.23221916847301E-3</v>
      </c>
      <c r="D15">
        <f t="shared" si="1"/>
        <v>-3.4000000000000017</v>
      </c>
      <c r="E15">
        <f t="shared" si="2"/>
        <v>1.2322191684730119E-3</v>
      </c>
      <c r="F15" s="28">
        <f t="shared" si="4"/>
        <v>0.21696079283504296</v>
      </c>
      <c r="J15">
        <f>+J14</f>
        <v>0.21154892952619331</v>
      </c>
      <c r="K15">
        <f>+MAX(C4:C163,E4:E163)</f>
        <v>0.39894228040143265</v>
      </c>
      <c r="R15">
        <v>0</v>
      </c>
      <c r="S15" s="4">
        <v>1</v>
      </c>
      <c r="T15" s="4"/>
      <c r="U15" s="11">
        <f>+IF('Likelihood Ratio'!$Q$60 &gt; 0, 'Likelihood Ratio'!T11,"")</f>
        <v>0.35</v>
      </c>
      <c r="V15" s="11">
        <f>+'Likelihood Ratio'!V11</f>
        <v>0.51506741522058153</v>
      </c>
      <c r="W15" s="4"/>
      <c r="X15" s="11">
        <f>+'Specified Odds Ratio'!W11</f>
        <v>0.15810400913492106</v>
      </c>
      <c r="Y15" s="11">
        <f>IF('Likelihood Ratio'!$Q$60 &gt; 0,'Likelihood Ratio'!Y11,"")</f>
        <v>0.35</v>
      </c>
    </row>
    <row r="16" spans="1:25">
      <c r="A16">
        <f t="shared" si="5"/>
        <v>-3.3500000000000019</v>
      </c>
      <c r="B16">
        <f t="shared" si="0"/>
        <v>-2.9269021409476155</v>
      </c>
      <c r="C16">
        <f t="shared" si="3"/>
        <v>1.4587308046667342E-3</v>
      </c>
      <c r="D16">
        <f t="shared" si="1"/>
        <v>-3.3500000000000019</v>
      </c>
      <c r="E16">
        <f t="shared" si="2"/>
        <v>1.4587308046667368E-3</v>
      </c>
      <c r="F16" s="28">
        <f t="shared" si="4"/>
        <v>0.22159946752157986</v>
      </c>
      <c r="R16" t="s">
        <v>27</v>
      </c>
      <c r="S16" s="4">
        <v>0.8</v>
      </c>
      <c r="T16" s="4">
        <v>0.9</v>
      </c>
      <c r="U16" s="11">
        <f>+IF('Likelihood Ratio'!$Q$60 &gt; 0, 'Likelihood Ratio'!T12,"")</f>
        <v>0.39999999999999997</v>
      </c>
      <c r="V16" s="11">
        <f>+'Likelihood Ratio'!V12</f>
        <v>0.56739692208677917</v>
      </c>
      <c r="W16" s="4"/>
      <c r="X16" s="11">
        <f>+'Specified Odds Ratio'!W12</f>
        <v>0.19206622229059256</v>
      </c>
      <c r="Y16" s="11">
        <f>IF('Likelihood Ratio'!$Q$60 &gt; 0,'Likelihood Ratio'!Y12,"")</f>
        <v>0.39999999999999997</v>
      </c>
    </row>
    <row r="17" spans="1:25">
      <c r="A17">
        <f t="shared" si="5"/>
        <v>-3.300000000000002</v>
      </c>
      <c r="B17">
        <f t="shared" si="0"/>
        <v>-2.8769021409476156</v>
      </c>
      <c r="C17">
        <f t="shared" si="3"/>
        <v>1.7225689390536656E-3</v>
      </c>
      <c r="D17">
        <f t="shared" si="1"/>
        <v>-3.300000000000002</v>
      </c>
      <c r="E17">
        <f t="shared" si="2"/>
        <v>1.7225689390536689E-3</v>
      </c>
      <c r="F17" s="28">
        <f t="shared" si="4"/>
        <v>0.22633731820469366</v>
      </c>
      <c r="J17">
        <f>+J14</f>
        <v>0.21154892952619331</v>
      </c>
      <c r="K17" s="28">
        <f>+MIN(F4:F163)</f>
        <v>0.16831848749268291</v>
      </c>
      <c r="L17" t="s">
        <v>65</v>
      </c>
      <c r="R17" s="38"/>
      <c r="S17" s="4"/>
      <c r="T17" s="4"/>
      <c r="U17" s="11">
        <f>+IF('Likelihood Ratio'!$Q$60 &gt; 0, 'Likelihood Ratio'!T13,"")</f>
        <v>0.44999999999999996</v>
      </c>
      <c r="V17" s="11">
        <f>+'Likelihood Ratio'!V13</f>
        <v>0.61693336420918254</v>
      </c>
      <c r="W17" s="4"/>
      <c r="X17" s="11">
        <f>+'Specified Odds Ratio'!W13</f>
        <v>0.22885539524785914</v>
      </c>
      <c r="Y17" s="11">
        <f>IF('Likelihood Ratio'!$Q$60 &gt; 0,'Likelihood Ratio'!Y13,"")</f>
        <v>0.44999999999999996</v>
      </c>
    </row>
    <row r="18" spans="1:25">
      <c r="A18">
        <f t="shared" si="5"/>
        <v>-3.2500000000000022</v>
      </c>
      <c r="B18">
        <f t="shared" si="0"/>
        <v>-2.8269021409476158</v>
      </c>
      <c r="C18">
        <f t="shared" si="3"/>
        <v>2.0290480572997499E-3</v>
      </c>
      <c r="D18">
        <f t="shared" si="1"/>
        <v>-3.2500000000000022</v>
      </c>
      <c r="E18">
        <f t="shared" si="2"/>
        <v>2.0290480572997534E-3</v>
      </c>
      <c r="F18" s="28">
        <f t="shared" si="4"/>
        <v>0.2311764652913888</v>
      </c>
      <c r="J18">
        <f>+J17</f>
        <v>0.21154892952619331</v>
      </c>
      <c r="K18" s="28">
        <f>+MAX(F4:F163)</f>
        <v>4.9673452230511197</v>
      </c>
      <c r="R18" s="38"/>
      <c r="S18" s="4"/>
      <c r="T18" s="4"/>
      <c r="U18" s="11">
        <f>+IF('Likelihood Ratio'!$Q$60 &gt; 0, 'Likelihood Ratio'!T14,"")</f>
        <v>0.49999999999999994</v>
      </c>
      <c r="V18" s="11">
        <f>+'Likelihood Ratio'!V14</f>
        <v>0.66388806782093934</v>
      </c>
      <c r="W18" s="4"/>
      <c r="X18" s="11">
        <f>+'Specified Odds Ratio'!W14</f>
        <v>0.26863046211275365</v>
      </c>
      <c r="Y18" s="11">
        <f>IF('Likelihood Ratio'!$Q$60 &gt; 0,'Likelihood Ratio'!Y14,"")</f>
        <v>0.49999999999999994</v>
      </c>
    </row>
    <row r="19" spans="1:25">
      <c r="A19">
        <f t="shared" si="5"/>
        <v>-3.2000000000000024</v>
      </c>
      <c r="B19">
        <f t="shared" si="0"/>
        <v>-2.776902140947616</v>
      </c>
      <c r="C19">
        <f t="shared" si="3"/>
        <v>2.3840882014648209E-3</v>
      </c>
      <c r="D19">
        <f t="shared" si="1"/>
        <v>-3.2000000000000024</v>
      </c>
      <c r="E19">
        <f t="shared" si="2"/>
        <v>2.384088201464823E-3</v>
      </c>
      <c r="F19" s="28">
        <f t="shared" si="4"/>
        <v>0.23611907452348896</v>
      </c>
      <c r="S19" s="4"/>
      <c r="T19" s="4"/>
      <c r="U19" s="11">
        <f>+IF('Likelihood Ratio'!$Q$60 &gt; 0, 'Likelihood Ratio'!T15,"")</f>
        <v>0.54999999999999993</v>
      </c>
      <c r="V19" s="11">
        <f>+'Likelihood Ratio'!V15</f>
        <v>0.70841464538231347</v>
      </c>
      <c r="W19" s="4"/>
      <c r="X19" s="11">
        <f>+'Specified Odds Ratio'!W15</f>
        <v>0.31160751674969211</v>
      </c>
      <c r="Y19" s="11">
        <f>IF('Likelihood Ratio'!$Q$60 &gt; 0,'Likelihood Ratio'!Y15,"")</f>
        <v>0.54999999999999993</v>
      </c>
    </row>
    <row r="20" spans="1:25">
      <c r="A20">
        <f t="shared" si="5"/>
        <v>-3.1500000000000026</v>
      </c>
      <c r="B20">
        <f t="shared" si="0"/>
        <v>-2.7269021409476162</v>
      </c>
      <c r="C20">
        <f t="shared" si="3"/>
        <v>2.7942584148794194E-3</v>
      </c>
      <c r="D20">
        <f t="shared" si="1"/>
        <v>-3.1500000000000026</v>
      </c>
      <c r="E20">
        <f t="shared" si="2"/>
        <v>2.7942584148794246E-3</v>
      </c>
      <c r="F20" s="28">
        <f t="shared" si="4"/>
        <v>0.24116735794690633</v>
      </c>
      <c r="S20" s="4"/>
      <c r="T20" s="4"/>
      <c r="U20" s="11">
        <f>+IF('Likelihood Ratio'!$Q$60 &gt; 0, 'Likelihood Ratio'!T16,"")</f>
        <v>0.6</v>
      </c>
      <c r="V20" s="11">
        <f>+'Likelihood Ratio'!V16</f>
        <v>0.7506209106606796</v>
      </c>
      <c r="W20" s="4"/>
      <c r="X20" s="11">
        <f>+'Specified Odds Ratio'!W16</f>
        <v>0.35807344241576466</v>
      </c>
      <c r="Y20" s="11">
        <f>IF('Likelihood Ratio'!$Q$60 &gt; 0,'Likelihood Ratio'!Y16,"")</f>
        <v>0.6</v>
      </c>
    </row>
    <row r="21" spans="1:25">
      <c r="A21">
        <f t="shared" si="5"/>
        <v>-3.1000000000000028</v>
      </c>
      <c r="B21">
        <f t="shared" si="0"/>
        <v>-2.6769021409476164</v>
      </c>
      <c r="C21">
        <f t="shared" si="3"/>
        <v>3.2668190561998887E-3</v>
      </c>
      <c r="D21">
        <f t="shared" si="1"/>
        <v>-3.1000000000000028</v>
      </c>
      <c r="E21">
        <f t="shared" si="2"/>
        <v>3.2668190561998922E-3</v>
      </c>
      <c r="F21" s="28">
        <f t="shared" si="4"/>
        <v>0.24632357490163442</v>
      </c>
      <c r="S21" s="4"/>
      <c r="T21" s="4"/>
      <c r="U21" s="11">
        <f>+IF('Likelihood Ratio'!$Q$60 &gt; 0, 'Likelihood Ratio'!T17,"")</f>
        <v>0.65</v>
      </c>
      <c r="V21" s="11">
        <f>+'Likelihood Ratio'!V17</f>
        <v>0.7905750969675337</v>
      </c>
      <c r="W21" s="4"/>
      <c r="X21" s="11">
        <f>+'Specified Odds Ratio'!W17</f>
        <v>0.40840889037284311</v>
      </c>
      <c r="Y21" s="11">
        <f>IF('Likelihood Ratio'!$Q$60 &gt; 0,'Likelihood Ratio'!Y17,"")</f>
        <v>0.65</v>
      </c>
    </row>
    <row r="22" spans="1:25">
      <c r="A22">
        <f t="shared" si="5"/>
        <v>-3.0500000000000029</v>
      </c>
      <c r="B22">
        <f t="shared" si="0"/>
        <v>-2.6269021409476165</v>
      </c>
      <c r="C22">
        <f t="shared" si="3"/>
        <v>3.8097620982217692E-3</v>
      </c>
      <c r="D22">
        <f t="shared" si="1"/>
        <v>-3.0500000000000029</v>
      </c>
      <c r="E22">
        <f t="shared" si="2"/>
        <v>3.8097620982217727E-3</v>
      </c>
      <c r="F22" s="28">
        <f t="shared" si="4"/>
        <v>0.25159003303290722</v>
      </c>
      <c r="S22" s="4"/>
      <c r="T22" s="4"/>
      <c r="U22" s="11">
        <f>+IF('Likelihood Ratio'!$Q$60 &gt; 0, 'Likelihood Ratio'!T18,"")</f>
        <v>0.70000000000000007</v>
      </c>
      <c r="V22" s="11">
        <f>+'Likelihood Ratio'!V18</f>
        <v>0.82830755722618776</v>
      </c>
      <c r="W22" s="4"/>
      <c r="X22" s="11">
        <f>+'Specified Odds Ratio'!W18</f>
        <v>0.46312665330883263</v>
      </c>
      <c r="Y22" s="11">
        <f>IF('Likelihood Ratio'!$Q$60 &gt; 0,'Likelihood Ratio'!Y18,"")</f>
        <v>0.70000000000000007</v>
      </c>
    </row>
    <row r="23" spans="1:25">
      <c r="A23">
        <f t="shared" si="5"/>
        <v>-3.0000000000000031</v>
      </c>
      <c r="B23">
        <f t="shared" si="0"/>
        <v>-2.5769021409476167</v>
      </c>
      <c r="C23">
        <f t="shared" si="3"/>
        <v>4.4318484119379598E-3</v>
      </c>
      <c r="D23">
        <f t="shared" si="1"/>
        <v>-3.0000000000000031</v>
      </c>
      <c r="E23">
        <f t="shared" si="2"/>
        <v>4.4318484119379676E-3</v>
      </c>
      <c r="F23" s="28">
        <f t="shared" si="4"/>
        <v>0.25696908932397661</v>
      </c>
      <c r="R23" s="4"/>
      <c r="S23" s="4"/>
      <c r="T23" s="4"/>
      <c r="U23" s="11">
        <f>+IF('Likelihood Ratio'!$Q$60 &gt; 0, 'Likelihood Ratio'!T19,"")</f>
        <v>0.75000000000000011</v>
      </c>
      <c r="V23" s="11">
        <f>+'Likelihood Ratio'!V19</f>
        <v>0.86380769706971972</v>
      </c>
      <c r="W23" s="4"/>
      <c r="X23" s="11">
        <f>+'Specified Odds Ratio'!W19</f>
        <v>0.52293828396483122</v>
      </c>
      <c r="Y23" s="11">
        <f>IF('Likelihood Ratio'!$Q$60 &gt; 0,'Likelihood Ratio'!Y19,"")</f>
        <v>0.75000000000000011</v>
      </c>
    </row>
    <row r="24" spans="1:25">
      <c r="A24">
        <f t="shared" si="5"/>
        <v>-2.9500000000000033</v>
      </c>
      <c r="B24">
        <f t="shared" si="0"/>
        <v>-2.5269021409476169</v>
      </c>
      <c r="C24">
        <f t="shared" si="3"/>
        <v>5.1426409230538829E-3</v>
      </c>
      <c r="D24">
        <f t="shared" si="1"/>
        <v>-2.9500000000000033</v>
      </c>
      <c r="E24">
        <f t="shared" si="2"/>
        <v>5.1426409230538881E-3</v>
      </c>
      <c r="F24" s="28">
        <f t="shared" si="4"/>
        <v>0.26246315115097157</v>
      </c>
      <c r="H24" t="s">
        <v>70</v>
      </c>
      <c r="J24">
        <v>0</v>
      </c>
      <c r="K24">
        <v>1</v>
      </c>
      <c r="R24" s="4"/>
      <c r="S24" s="4"/>
      <c r="T24" s="4"/>
      <c r="U24" s="11">
        <f>+IF('Likelihood Ratio'!$Q$60 &gt; 0, 'Likelihood Ratio'!T20,"")</f>
        <v>0.80000000000000016</v>
      </c>
      <c r="V24" s="11">
        <f>+'Likelihood Ratio'!V20</f>
        <v>0.89701397836119623</v>
      </c>
      <c r="W24" s="4"/>
      <c r="X24" s="11">
        <f>+'Specified Odds Ratio'!W20</f>
        <v>0.58887847823788431</v>
      </c>
      <c r="Y24" s="11">
        <f>IF('Likelihood Ratio'!$Q$60 &gt; 0,'Likelihood Ratio'!Y20,"")</f>
        <v>0.80000000000000016</v>
      </c>
    </row>
    <row r="25" spans="1:25">
      <c r="A25">
        <f t="shared" si="5"/>
        <v>-2.9000000000000035</v>
      </c>
      <c r="B25">
        <f t="shared" si="0"/>
        <v>-2.4769021409476171</v>
      </c>
      <c r="C25">
        <f t="shared" si="3"/>
        <v>5.9525324197757844E-3</v>
      </c>
      <c r="D25">
        <f t="shared" si="1"/>
        <v>-2.9000000000000035</v>
      </c>
      <c r="E25">
        <f t="shared" si="2"/>
        <v>5.9525324197757948E-3</v>
      </c>
      <c r="F25" s="28">
        <f t="shared" si="4"/>
        <v>0.26807467736031021</v>
      </c>
      <c r="J25">
        <v>1</v>
      </c>
      <c r="K25">
        <v>2</v>
      </c>
      <c r="R25" s="4"/>
      <c r="S25" s="4"/>
      <c r="T25" s="4"/>
      <c r="U25" s="11">
        <f>+IF('Likelihood Ratio'!$Q$60 &gt; 0, 'Likelihood Ratio'!T21,"")</f>
        <v>0.8500000000000002</v>
      </c>
      <c r="V25" s="11">
        <f>+'Likelihood Ratio'!V21</f>
        <v>0.92779052678706586</v>
      </c>
      <c r="W25" s="4"/>
      <c r="X25" s="11">
        <f>+'Specified Odds Ratio'!W21</f>
        <v>0.66256479801031221</v>
      </c>
      <c r="Y25" s="11">
        <f>IF('Likelihood Ratio'!$Q$60 &gt; 0,'Likelihood Ratio'!Y21,"")</f>
        <v>0.8500000000000002</v>
      </c>
    </row>
    <row r="26" spans="1:25">
      <c r="A26">
        <f t="shared" si="5"/>
        <v>-2.8500000000000036</v>
      </c>
      <c r="B26">
        <f t="shared" si="0"/>
        <v>-2.4269021409476172</v>
      </c>
      <c r="C26">
        <f t="shared" si="3"/>
        <v>6.8727666906138914E-3</v>
      </c>
      <c r="D26">
        <f t="shared" si="1"/>
        <v>-2.8500000000000036</v>
      </c>
      <c r="E26">
        <f t="shared" si="2"/>
        <v>6.8727666906139035E-3</v>
      </c>
      <c r="F26" s="28">
        <f t="shared" si="4"/>
        <v>0.27380617936914681</v>
      </c>
      <c r="R26" s="4"/>
      <c r="S26" s="4"/>
      <c r="T26" s="4"/>
      <c r="U26" s="11">
        <f>+IF('Likelihood Ratio'!$Q$60 &gt; 0, 'Likelihood Ratio'!T22,"")</f>
        <v>0.90000000000000024</v>
      </c>
      <c r="V26" s="11">
        <f>+'Likelihood Ratio'!V22</f>
        <v>0.95587008620105673</v>
      </c>
      <c r="W26" s="4"/>
      <c r="X26" s="11">
        <f>+'Specified Odds Ratio'!W22</f>
        <v>0.74684402734722799</v>
      </c>
      <c r="Y26" s="11">
        <f>IF('Likelihood Ratio'!$Q$60 &gt; 0,'Likelihood Ratio'!Y22,"")</f>
        <v>0.90000000000000024</v>
      </c>
    </row>
    <row r="27" spans="1:25">
      <c r="A27">
        <f t="shared" si="5"/>
        <v>-2.8000000000000038</v>
      </c>
      <c r="B27">
        <f t="shared" si="0"/>
        <v>-2.3769021409476174</v>
      </c>
      <c r="C27">
        <f t="shared" si="3"/>
        <v>7.9154515829798697E-3</v>
      </c>
      <c r="D27">
        <f t="shared" si="1"/>
        <v>-2.8000000000000038</v>
      </c>
      <c r="E27">
        <f t="shared" si="2"/>
        <v>7.9154515829798783E-3</v>
      </c>
      <c r="F27" s="28">
        <f t="shared" si="4"/>
        <v>0.27966022228934723</v>
      </c>
      <c r="R27" s="4"/>
      <c r="S27" s="4"/>
      <c r="T27" s="4"/>
      <c r="U27" s="11">
        <f>+IF('Likelihood Ratio'!$Q$60 &gt; 0, 'Likelihood Ratio'!T23,"")</f>
        <v>0.95000000000000029</v>
      </c>
      <c r="V27" s="11">
        <f>+'Likelihood Ratio'!V23</f>
        <v>0.98067770736432425</v>
      </c>
      <c r="W27" s="4"/>
      <c r="X27" s="11">
        <f>+'Specified Odds Ratio'!W23</f>
        <v>0.84800000000000075</v>
      </c>
      <c r="Y27" s="11">
        <f>IF('Likelihood Ratio'!$Q$60 &gt; 0,'Likelihood Ratio'!Y23,"")</f>
        <v>0.95000000000000029</v>
      </c>
    </row>
    <row r="28" spans="1:25">
      <c r="A28">
        <f t="shared" si="5"/>
        <v>-2.750000000000004</v>
      </c>
      <c r="B28">
        <f t="shared" si="0"/>
        <v>-2.3269021409476176</v>
      </c>
      <c r="C28">
        <f t="shared" si="3"/>
        <v>9.0935625015909401E-3</v>
      </c>
      <c r="D28">
        <f t="shared" si="1"/>
        <v>-2.750000000000004</v>
      </c>
      <c r="E28">
        <f t="shared" si="2"/>
        <v>9.0935625015909523E-3</v>
      </c>
      <c r="F28" s="28">
        <f t="shared" si="4"/>
        <v>0.28563942607549486</v>
      </c>
      <c r="R28" s="4"/>
      <c r="S28" s="4"/>
      <c r="T28" s="4"/>
      <c r="U28" s="11">
        <f>+IF('Likelihood Ratio'!$Q$60 &gt; 0, 'Likelihood Ratio'!T24,"")</f>
        <v>0.99</v>
      </c>
      <c r="V28" s="11">
        <f>+'Likelihood Ratio'!V24</f>
        <v>0.99701519266122374</v>
      </c>
      <c r="W28" s="4"/>
      <c r="X28" s="11">
        <f>+'Specified Odds Ratio'!W24</f>
        <v>0.95631041119055471</v>
      </c>
      <c r="Y28" s="11">
        <f>IF('Likelihood Ratio'!$Q$60 &gt; 0,'Likelihood Ratio'!Y24,"")</f>
        <v>0.99</v>
      </c>
    </row>
    <row r="29" spans="1:25">
      <c r="A29">
        <f t="shared" si="5"/>
        <v>-2.7000000000000042</v>
      </c>
      <c r="B29">
        <f t="shared" si="0"/>
        <v>-2.2769021409476178</v>
      </c>
      <c r="C29">
        <f t="shared" si="3"/>
        <v>1.0420934814422465E-2</v>
      </c>
      <c r="D29">
        <f t="shared" si="1"/>
        <v>-2.7000000000000042</v>
      </c>
      <c r="E29">
        <f t="shared" si="2"/>
        <v>1.0420934814422479E-2</v>
      </c>
      <c r="F29" s="28">
        <f t="shared" si="4"/>
        <v>0.29174646669744142</v>
      </c>
    </row>
    <row r="30" spans="1:25">
      <c r="A30">
        <f t="shared" si="5"/>
        <v>-2.6500000000000044</v>
      </c>
      <c r="B30">
        <f t="shared" si="0"/>
        <v>-2.226902140947618</v>
      </c>
      <c r="C30">
        <f t="shared" si="3"/>
        <v>1.1912243607605023E-2</v>
      </c>
      <c r="D30">
        <f t="shared" si="1"/>
        <v>-2.6500000000000044</v>
      </c>
      <c r="E30">
        <f t="shared" si="2"/>
        <v>1.191224360760504E-2</v>
      </c>
      <c r="F30" s="28">
        <f t="shared" si="4"/>
        <v>0.29798407733792687</v>
      </c>
    </row>
    <row r="31" spans="1:25">
      <c r="A31">
        <f t="shared" si="5"/>
        <v>-2.6000000000000045</v>
      </c>
      <c r="B31">
        <f t="shared" si="0"/>
        <v>-2.1769021409476181</v>
      </c>
      <c r="C31">
        <f t="shared" si="3"/>
        <v>1.3582969233685443E-2</v>
      </c>
      <c r="D31">
        <f t="shared" si="1"/>
        <v>-2.6000000000000045</v>
      </c>
      <c r="E31">
        <f t="shared" si="2"/>
        <v>1.3582969233685453E-2</v>
      </c>
      <c r="F31" s="28">
        <f t="shared" si="4"/>
        <v>0.30435504961580495</v>
      </c>
    </row>
    <row r="32" spans="1:25">
      <c r="A32">
        <f t="shared" si="5"/>
        <v>-2.5500000000000047</v>
      </c>
      <c r="B32">
        <f t="shared" si="0"/>
        <v>-2.1269021409476183</v>
      </c>
      <c r="C32">
        <f t="shared" si="3"/>
        <v>1.5449347134394966E-2</v>
      </c>
      <c r="D32">
        <f t="shared" si="1"/>
        <v>-2.5500000000000047</v>
      </c>
      <c r="E32">
        <f t="shared" si="2"/>
        <v>1.544934713439498E-2</v>
      </c>
      <c r="F32" s="28">
        <f t="shared" si="4"/>
        <v>0.31086223483542164</v>
      </c>
    </row>
    <row r="33" spans="1:6">
      <c r="A33">
        <f t="shared" si="5"/>
        <v>-2.5000000000000049</v>
      </c>
      <c r="B33">
        <f t="shared" si="0"/>
        <v>-2.0769021409476185</v>
      </c>
      <c r="C33">
        <f t="shared" si="3"/>
        <v>1.7528300493568301E-2</v>
      </c>
      <c r="D33">
        <f t="shared" si="1"/>
        <v>-2.5000000000000049</v>
      </c>
      <c r="E33">
        <f t="shared" si="2"/>
        <v>1.7528300493568318E-2</v>
      </c>
      <c r="F33" s="28">
        <f t="shared" si="4"/>
        <v>0.31750854526270578</v>
      </c>
    </row>
    <row r="34" spans="1:6">
      <c r="A34">
        <f t="shared" si="5"/>
        <v>-2.4500000000000051</v>
      </c>
      <c r="B34">
        <f t="shared" si="0"/>
        <v>-2.0269021409476187</v>
      </c>
      <c r="C34">
        <f t="shared" si="3"/>
        <v>1.9837354391795053E-2</v>
      </c>
      <c r="D34">
        <f t="shared" si="1"/>
        <v>-2.4500000000000051</v>
      </c>
      <c r="E34">
        <f t="shared" si="2"/>
        <v>1.9837354391795081E-2</v>
      </c>
      <c r="F34" s="28">
        <f t="shared" si="4"/>
        <v>0.32429695542854192</v>
      </c>
    </row>
    <row r="35" spans="1:6">
      <c r="A35">
        <f t="shared" si="5"/>
        <v>-2.4000000000000052</v>
      </c>
      <c r="B35">
        <f t="shared" si="0"/>
        <v>-1.9769021409476186</v>
      </c>
      <c r="C35">
        <f t="shared" si="3"/>
        <v>2.2394530294842608E-2</v>
      </c>
      <c r="D35">
        <f t="shared" si="1"/>
        <v>-2.4000000000000052</v>
      </c>
      <c r="E35">
        <f t="shared" si="2"/>
        <v>2.2394530294842608E-2</v>
      </c>
      <c r="F35" s="28">
        <f t="shared" si="4"/>
        <v>0.33123050346001098</v>
      </c>
    </row>
    <row r="36" spans="1:6">
      <c r="A36">
        <f t="shared" si="5"/>
        <v>-2.3500000000000054</v>
      </c>
      <c r="B36">
        <f t="shared" si="0"/>
        <v>-1.9269021409476188</v>
      </c>
      <c r="C36">
        <f t="shared" si="3"/>
        <v>2.5218219915194063E-2</v>
      </c>
      <c r="D36">
        <f t="shared" si="1"/>
        <v>-2.3500000000000054</v>
      </c>
      <c r="E36">
        <f t="shared" si="2"/>
        <v>2.5218219915194063E-2</v>
      </c>
      <c r="F36" s="28">
        <f t="shared" si="4"/>
        <v>0.33831229244009192</v>
      </c>
    </row>
    <row r="37" spans="1:6">
      <c r="A37">
        <f t="shared" si="5"/>
        <v>-2.3000000000000056</v>
      </c>
      <c r="B37">
        <f t="shared" si="0"/>
        <v>-1.876902140947619</v>
      </c>
      <c r="C37">
        <f t="shared" si="3"/>
        <v>2.8327037741600808E-2</v>
      </c>
      <c r="D37">
        <f t="shared" si="1"/>
        <v>-2.3000000000000056</v>
      </c>
      <c r="E37">
        <f t="shared" si="2"/>
        <v>2.8327037741600808E-2</v>
      </c>
      <c r="F37" s="28">
        <f t="shared" si="4"/>
        <v>0.34554549179643507</v>
      </c>
    </row>
    <row r="38" spans="1:6">
      <c r="A38">
        <f t="shared" si="5"/>
        <v>-2.2500000000000058</v>
      </c>
      <c r="B38">
        <f t="shared" si="0"/>
        <v>-1.8269021409476192</v>
      </c>
      <c r="C38">
        <f t="shared" si="3"/>
        <v>3.1739651835667008E-2</v>
      </c>
      <c r="D38">
        <f t="shared" si="1"/>
        <v>-2.2500000000000058</v>
      </c>
      <c r="E38">
        <f t="shared" si="2"/>
        <v>3.1739651835667008E-2</v>
      </c>
      <c r="F38" s="28">
        <f t="shared" si="4"/>
        <v>0.35293333871982718</v>
      </c>
    </row>
    <row r="39" spans="1:6">
      <c r="A39">
        <f t="shared" si="5"/>
        <v>-2.200000000000006</v>
      </c>
      <c r="B39">
        <f t="shared" si="0"/>
        <v>-1.7769021409476193</v>
      </c>
      <c r="C39">
        <f t="shared" si="3"/>
        <v>3.547459284623096E-2</v>
      </c>
      <c r="D39">
        <f t="shared" si="1"/>
        <v>-2.200000000000006</v>
      </c>
      <c r="E39">
        <f t="shared" si="2"/>
        <v>3.547459284623096E-2</v>
      </c>
      <c r="F39" s="28">
        <f t="shared" si="4"/>
        <v>0.36047913961298378</v>
      </c>
    </row>
    <row r="40" spans="1:6">
      <c r="A40">
        <f t="shared" si="5"/>
        <v>-2.1500000000000061</v>
      </c>
      <c r="B40">
        <f t="shared" si="0"/>
        <v>-1.7269021409476195</v>
      </c>
      <c r="C40">
        <f t="shared" si="3"/>
        <v>3.9550041589369693E-2</v>
      </c>
      <c r="D40">
        <f t="shared" si="1"/>
        <v>-2.1500000000000061</v>
      </c>
      <c r="E40">
        <f t="shared" si="2"/>
        <v>3.9550041589369693E-2</v>
      </c>
      <c r="F40" s="28">
        <f t="shared" si="4"/>
        <v>0.36818627157031725</v>
      </c>
    </row>
    <row r="41" spans="1:6">
      <c r="A41">
        <f t="shared" si="5"/>
        <v>-2.1000000000000063</v>
      </c>
      <c r="B41">
        <f t="shared" si="0"/>
        <v>-1.6769021409476197</v>
      </c>
      <c r="C41">
        <f t="shared" si="3"/>
        <v>4.3983595980426601E-2</v>
      </c>
      <c r="D41">
        <f t="shared" si="1"/>
        <v>-2.1000000000000063</v>
      </c>
      <c r="E41">
        <f t="shared" si="2"/>
        <v>4.3983595980426601E-2</v>
      </c>
      <c r="F41" s="28">
        <f t="shared" si="4"/>
        <v>0.37605818388934237</v>
      </c>
    </row>
    <row r="42" spans="1:6">
      <c r="A42">
        <f t="shared" si="5"/>
        <v>-2.0500000000000065</v>
      </c>
      <c r="B42">
        <f t="shared" si="0"/>
        <v>-1.6269021409476199</v>
      </c>
      <c r="C42">
        <f t="shared" si="3"/>
        <v>4.8792018579182105E-2</v>
      </c>
      <c r="D42">
        <f t="shared" si="1"/>
        <v>-2.0500000000000065</v>
      </c>
      <c r="E42">
        <f t="shared" si="2"/>
        <v>4.8792018579182105E-2</v>
      </c>
      <c r="F42" s="28">
        <f t="shared" si="4"/>
        <v>0.38409839961439662</v>
      </c>
    </row>
    <row r="43" spans="1:6">
      <c r="A43">
        <f t="shared" si="5"/>
        <v>-2.0000000000000067</v>
      </c>
      <c r="B43">
        <f t="shared" si="0"/>
        <v>-1.57690214094762</v>
      </c>
      <c r="C43">
        <f t="shared" si="3"/>
        <v>5.3990966513187334E-2</v>
      </c>
      <c r="D43">
        <f t="shared" si="1"/>
        <v>-2.0000000000000067</v>
      </c>
      <c r="E43">
        <f t="shared" si="2"/>
        <v>5.3990966513187334E-2</v>
      </c>
      <c r="F43" s="28">
        <f t="shared" si="4"/>
        <v>0.39231051711336473</v>
      </c>
    </row>
    <row r="44" spans="1:6">
      <c r="A44">
        <f t="shared" si="5"/>
        <v>-1.9500000000000066</v>
      </c>
      <c r="B44">
        <f t="shared" si="0"/>
        <v>-1.52690214094762</v>
      </c>
      <c r="C44">
        <f t="shared" si="3"/>
        <v>5.9594706068815291E-2</v>
      </c>
      <c r="D44">
        <f t="shared" si="1"/>
        <v>-1.9500000000000066</v>
      </c>
      <c r="E44">
        <f t="shared" si="2"/>
        <v>5.9594706068815291E-2</v>
      </c>
      <c r="F44" s="28">
        <f t="shared" si="4"/>
        <v>0.40069821168811492</v>
      </c>
    </row>
    <row r="45" spans="1:6">
      <c r="A45">
        <f t="shared" si="5"/>
        <v>-1.9000000000000066</v>
      </c>
      <c r="B45">
        <f t="shared" si="0"/>
        <v>-1.47690214094762</v>
      </c>
      <c r="C45">
        <f t="shared" si="3"/>
        <v>6.5615814774675763E-2</v>
      </c>
      <c r="D45">
        <f t="shared" si="1"/>
        <v>-1.9000000000000066</v>
      </c>
      <c r="E45">
        <f t="shared" si="2"/>
        <v>6.5615814774675763E-2</v>
      </c>
      <c r="F45" s="28">
        <f t="shared" si="4"/>
        <v>0.40926523721936597</v>
      </c>
    </row>
    <row r="46" spans="1:6">
      <c r="A46">
        <f t="shared" si="5"/>
        <v>-1.8500000000000065</v>
      </c>
      <c r="B46">
        <f t="shared" si="0"/>
        <v>-1.4269021409476199</v>
      </c>
      <c r="C46">
        <f t="shared" si="3"/>
        <v>7.2064874336217111E-2</v>
      </c>
      <c r="D46">
        <f t="shared" si="1"/>
        <v>-1.8500000000000065</v>
      </c>
      <c r="E46">
        <f t="shared" si="2"/>
        <v>7.2064874336217111E-2</v>
      </c>
      <c r="F46" s="28">
        <f t="shared" si="4"/>
        <v>0.41801542784672241</v>
      </c>
    </row>
    <row r="47" spans="1:6">
      <c r="A47">
        <f t="shared" si="5"/>
        <v>-1.8000000000000065</v>
      </c>
      <c r="B47">
        <f t="shared" si="0"/>
        <v>-1.3769021409476199</v>
      </c>
      <c r="C47">
        <f t="shared" si="3"/>
        <v>7.8950158300893233E-2</v>
      </c>
      <c r="D47">
        <f t="shared" si="1"/>
        <v>-1.8000000000000065</v>
      </c>
      <c r="E47">
        <f t="shared" si="2"/>
        <v>7.8950158300893233E-2</v>
      </c>
      <c r="F47" s="28">
        <f t="shared" si="4"/>
        <v>0.42695269968462896</v>
      </c>
    </row>
    <row r="48" spans="1:6">
      <c r="A48">
        <f t="shared" si="5"/>
        <v>-1.7500000000000064</v>
      </c>
      <c r="B48">
        <f t="shared" si="0"/>
        <v>-1.3269021409476198</v>
      </c>
      <c r="C48">
        <f t="shared" si="3"/>
        <v>8.6277318826510532E-2</v>
      </c>
      <c r="D48">
        <f t="shared" si="1"/>
        <v>-1.7500000000000064</v>
      </c>
      <c r="E48">
        <f t="shared" si="2"/>
        <v>8.6277318826510532E-2</v>
      </c>
      <c r="F48" s="28">
        <f t="shared" si="4"/>
        <v>0.43608105257501267</v>
      </c>
    </row>
    <row r="49" spans="1:6">
      <c r="A49">
        <f t="shared" si="5"/>
        <v>-1.7000000000000064</v>
      </c>
      <c r="B49">
        <f t="shared" si="0"/>
        <v>-1.2769021409476198</v>
      </c>
      <c r="C49">
        <f t="shared" si="3"/>
        <v>9.4049077376885878E-2</v>
      </c>
      <c r="D49">
        <f t="shared" si="1"/>
        <v>-1.7000000000000064</v>
      </c>
      <c r="E49">
        <f t="shared" si="2"/>
        <v>9.4049077376885878E-2</v>
      </c>
      <c r="F49" s="28">
        <f t="shared" si="4"/>
        <v>0.44540457187739685</v>
      </c>
    </row>
    <row r="50" spans="1:6">
      <c r="A50">
        <f t="shared" si="5"/>
        <v>-1.6500000000000064</v>
      </c>
      <c r="B50">
        <f t="shared" si="0"/>
        <v>-1.2269021409476197</v>
      </c>
      <c r="C50">
        <f t="shared" si="3"/>
        <v>0.10226492456397691</v>
      </c>
      <c r="D50">
        <f t="shared" si="1"/>
        <v>-1.6500000000000064</v>
      </c>
      <c r="E50">
        <f t="shared" si="2"/>
        <v>0.10226492456397691</v>
      </c>
      <c r="F50" s="28">
        <f t="shared" si="4"/>
        <v>0.45492743029728833</v>
      </c>
    </row>
    <row r="51" spans="1:6">
      <c r="A51">
        <f t="shared" si="5"/>
        <v>-1.6000000000000063</v>
      </c>
      <c r="B51">
        <f t="shared" si="0"/>
        <v>-1.1769021409476197</v>
      </c>
      <c r="C51">
        <f t="shared" si="3"/>
        <v>0.11092083467945445</v>
      </c>
      <c r="D51">
        <f t="shared" si="1"/>
        <v>-1.6000000000000063</v>
      </c>
      <c r="E51">
        <f t="shared" si="2"/>
        <v>0.11092083467945445</v>
      </c>
      <c r="F51" s="28">
        <f t="shared" si="4"/>
        <v>0.46465388975365551</v>
      </c>
    </row>
    <row r="52" spans="1:6">
      <c r="A52">
        <f t="shared" si="5"/>
        <v>-1.5500000000000063</v>
      </c>
      <c r="B52">
        <f t="shared" si="0"/>
        <v>-1.1269021409476196</v>
      </c>
      <c r="C52">
        <f t="shared" si="3"/>
        <v>0.12000900069698442</v>
      </c>
      <c r="D52">
        <f t="shared" si="1"/>
        <v>-1.5500000000000063</v>
      </c>
      <c r="E52">
        <f t="shared" si="2"/>
        <v>0.12000900069698442</v>
      </c>
      <c r="F52" s="28">
        <f t="shared" si="4"/>
        <v>0.47458830328633456</v>
      </c>
    </row>
    <row r="53" spans="1:6">
      <c r="A53">
        <f t="shared" si="5"/>
        <v>-1.5000000000000062</v>
      </c>
      <c r="B53">
        <f t="shared" si="0"/>
        <v>-1.0769021409476196</v>
      </c>
      <c r="C53">
        <f t="shared" si="3"/>
        <v>0.12951759566589049</v>
      </c>
      <c r="D53">
        <f t="shared" si="1"/>
        <v>-1.5000000000000062</v>
      </c>
      <c r="E53">
        <f t="shared" si="2"/>
        <v>0.12951759566589049</v>
      </c>
      <c r="F53" s="28">
        <f t="shared" si="4"/>
        <v>0.48473511700421507</v>
      </c>
    </row>
    <row r="54" spans="1:6">
      <c r="A54">
        <f t="shared" si="5"/>
        <v>-1.4500000000000062</v>
      </c>
      <c r="B54">
        <f t="shared" si="0"/>
        <v>-1.0269021409476196</v>
      </c>
      <c r="C54">
        <f t="shared" si="3"/>
        <v>0.13943056644535901</v>
      </c>
      <c r="D54">
        <f t="shared" si="1"/>
        <v>-1.4500000000000062</v>
      </c>
      <c r="E54">
        <f t="shared" si="2"/>
        <v>0.13943056644535901</v>
      </c>
      <c r="F54" s="28">
        <f t="shared" si="4"/>
        <v>0.49509887207507969</v>
      </c>
    </row>
    <row r="55" spans="1:6">
      <c r="A55">
        <f t="shared" si="5"/>
        <v>-1.4000000000000061</v>
      </c>
      <c r="B55">
        <f t="shared" si="0"/>
        <v>-0.97690214094761951</v>
      </c>
      <c r="C55">
        <f t="shared" si="3"/>
        <v>0.14972746563574357</v>
      </c>
      <c r="D55">
        <f t="shared" si="1"/>
        <v>-1.4000000000000061</v>
      </c>
      <c r="E55">
        <f t="shared" si="2"/>
        <v>0.14972746563574357</v>
      </c>
      <c r="F55" s="28">
        <f t="shared" si="4"/>
        <v>0.5056842067579862</v>
      </c>
    </row>
    <row r="56" spans="1:6">
      <c r="A56">
        <f t="shared" si="5"/>
        <v>-1.3500000000000061</v>
      </c>
      <c r="B56">
        <f t="shared" si="0"/>
        <v>-0.92690214094761947</v>
      </c>
      <c r="C56">
        <f t="shared" si="3"/>
        <v>0.16038332734191826</v>
      </c>
      <c r="D56">
        <f t="shared" si="1"/>
        <v>-1.3500000000000061</v>
      </c>
      <c r="E56">
        <f t="shared" si="2"/>
        <v>0.16038332734191826</v>
      </c>
      <c r="F56" s="28">
        <f t="shared" si="4"/>
        <v>0.51649585847910273</v>
      </c>
    </row>
    <row r="57" spans="1:6">
      <c r="A57">
        <f t="shared" si="5"/>
        <v>-1.300000000000006</v>
      </c>
      <c r="B57">
        <f t="shared" si="0"/>
        <v>-0.87690214094761942</v>
      </c>
      <c r="C57">
        <f t="shared" si="3"/>
        <v>0.171368592047806</v>
      </c>
      <c r="D57">
        <f t="shared" si="1"/>
        <v>-1.300000000000006</v>
      </c>
      <c r="E57">
        <f t="shared" si="2"/>
        <v>0.171368592047806</v>
      </c>
      <c r="F57" s="28">
        <f t="shared" si="4"/>
        <v>0.52753866595192456</v>
      </c>
    </row>
    <row r="58" spans="1:6">
      <c r="A58">
        <f t="shared" si="5"/>
        <v>-1.250000000000006</v>
      </c>
      <c r="B58">
        <f t="shared" si="0"/>
        <v>-0.82690214094761938</v>
      </c>
      <c r="C58">
        <f t="shared" si="3"/>
        <v>0.18264908538902053</v>
      </c>
      <c r="D58">
        <f t="shared" si="1"/>
        <v>-1.250000000000006</v>
      </c>
      <c r="E58">
        <f t="shared" si="2"/>
        <v>0.18264908538902053</v>
      </c>
      <c r="F58" s="28">
        <f t="shared" si="4"/>
        <v>0.5388175713428226</v>
      </c>
    </row>
    <row r="59" spans="1:6">
      <c r="A59">
        <f t="shared" si="5"/>
        <v>-1.200000000000006</v>
      </c>
      <c r="B59">
        <f t="shared" si="0"/>
        <v>-0.77690214094761934</v>
      </c>
      <c r="C59">
        <f t="shared" si="3"/>
        <v>0.19418605498321151</v>
      </c>
      <c r="D59">
        <f t="shared" si="1"/>
        <v>-1.200000000000006</v>
      </c>
      <c r="E59">
        <f t="shared" si="2"/>
        <v>0.19418605498321151</v>
      </c>
      <c r="F59" s="28">
        <f t="shared" si="4"/>
        <v>0.55033762248289009</v>
      </c>
    </row>
    <row r="60" spans="1:6">
      <c r="A60">
        <f t="shared" si="5"/>
        <v>-1.1500000000000059</v>
      </c>
      <c r="B60">
        <f t="shared" si="0"/>
        <v>-0.72690214094761929</v>
      </c>
      <c r="C60">
        <f t="shared" si="3"/>
        <v>0.20593626871997334</v>
      </c>
      <c r="D60">
        <f t="shared" si="1"/>
        <v>-1.1500000000000059</v>
      </c>
      <c r="E60">
        <f t="shared" si="2"/>
        <v>0.20593626871997334</v>
      </c>
      <c r="F60" s="28">
        <f t="shared" si="4"/>
        <v>0.56210397512708077</v>
      </c>
    </row>
    <row r="61" spans="1:6">
      <c r="A61">
        <f t="shared" si="5"/>
        <v>-1.1000000000000059</v>
      </c>
      <c r="B61">
        <f t="shared" si="0"/>
        <v>-0.67690214094761925</v>
      </c>
      <c r="C61">
        <f t="shared" si="3"/>
        <v>0.21785217703254914</v>
      </c>
      <c r="D61">
        <f t="shared" si="1"/>
        <v>-1.1000000000000059</v>
      </c>
      <c r="E61">
        <f t="shared" si="2"/>
        <v>0.21785217703254914</v>
      </c>
      <c r="F61" s="28">
        <f t="shared" si="4"/>
        <v>0.57412189526164725</v>
      </c>
    </row>
    <row r="62" spans="1:6">
      <c r="A62">
        <f t="shared" si="5"/>
        <v>-1.0500000000000058</v>
      </c>
      <c r="B62">
        <f t="shared" si="0"/>
        <v>-0.6269021409476192</v>
      </c>
      <c r="C62">
        <f t="shared" si="3"/>
        <v>0.2298821406842316</v>
      </c>
      <c r="D62">
        <f t="shared" si="1"/>
        <v>-1.0500000000000058</v>
      </c>
      <c r="E62">
        <f t="shared" si="2"/>
        <v>0.2298821406842316</v>
      </c>
      <c r="F62" s="28">
        <f t="shared" si="4"/>
        <v>0.58639676146091335</v>
      </c>
    </row>
    <row r="63" spans="1:6">
      <c r="A63">
        <f t="shared" si="5"/>
        <v>-1.0000000000000058</v>
      </c>
      <c r="B63">
        <f t="shared" si="0"/>
        <v>-0.57690214094761916</v>
      </c>
      <c r="C63">
        <f t="shared" si="3"/>
        <v>0.24197072451914192</v>
      </c>
      <c r="D63">
        <f t="shared" si="1"/>
        <v>-1.0000000000000058</v>
      </c>
      <c r="E63">
        <f t="shared" si="2"/>
        <v>0.24197072451914192</v>
      </c>
      <c r="F63" s="28">
        <f t="shared" si="4"/>
        <v>0.59893406729443366</v>
      </c>
    </row>
    <row r="64" spans="1:6">
      <c r="A64">
        <f t="shared" si="5"/>
        <v>-0.95000000000000573</v>
      </c>
      <c r="B64">
        <f t="shared" si="0"/>
        <v>-0.52690214094761911</v>
      </c>
      <c r="C64">
        <f t="shared" si="3"/>
        <v>0.25405905646918758</v>
      </c>
      <c r="D64">
        <f t="shared" si="1"/>
        <v>-0.95000000000000573</v>
      </c>
      <c r="E64">
        <f t="shared" si="2"/>
        <v>0.25405905646918758</v>
      </c>
      <c r="F64" s="28">
        <f t="shared" si="4"/>
        <v>0.61173942378562085</v>
      </c>
    </row>
    <row r="65" spans="1:6">
      <c r="A65">
        <f t="shared" si="5"/>
        <v>-0.90000000000000568</v>
      </c>
      <c r="B65">
        <f t="shared" si="0"/>
        <v>-0.47690214094761907</v>
      </c>
      <c r="C65">
        <f t="shared" si="3"/>
        <v>0.26608524989875343</v>
      </c>
      <c r="D65">
        <f t="shared" si="1"/>
        <v>-0.90000000000000568</v>
      </c>
      <c r="E65">
        <f t="shared" si="2"/>
        <v>0.26608524989875343</v>
      </c>
      <c r="F65" s="28">
        <f t="shared" si="4"/>
        <v>0.6248185619229365</v>
      </c>
    </row>
    <row r="66" spans="1:6">
      <c r="A66">
        <f t="shared" si="5"/>
        <v>-0.85000000000000564</v>
      </c>
      <c r="B66">
        <f t="shared" si="0"/>
        <v>-0.42690214094761902</v>
      </c>
      <c r="C66">
        <f t="shared" si="3"/>
        <v>0.27798488613099509</v>
      </c>
      <c r="D66">
        <f t="shared" si="1"/>
        <v>-0.85000000000000564</v>
      </c>
      <c r="E66">
        <f t="shared" si="2"/>
        <v>0.27798488613099509</v>
      </c>
      <c r="F66" s="28">
        <f t="shared" si="4"/>
        <v>0.63817733522477438</v>
      </c>
    </row>
    <row r="67" spans="1:6">
      <c r="A67">
        <f t="shared" si="5"/>
        <v>-0.8000000000000056</v>
      </c>
      <c r="B67">
        <f t="shared" si="0"/>
        <v>-0.37690214094761898</v>
      </c>
      <c r="C67">
        <f t="shared" si="3"/>
        <v>0.2896915527614814</v>
      </c>
      <c r="D67">
        <f t="shared" si="1"/>
        <v>-0.8000000000000056</v>
      </c>
      <c r="E67">
        <f t="shared" si="2"/>
        <v>0.2896915527614814</v>
      </c>
      <c r="F67" s="28">
        <f t="shared" si="4"/>
        <v>0.65182172235917935</v>
      </c>
    </row>
    <row r="68" spans="1:6">
      <c r="A68">
        <f t="shared" si="5"/>
        <v>-0.75000000000000555</v>
      </c>
      <c r="B68">
        <f t="shared" ref="B68:B131" si="6">+(A68+B$3)/C$3</f>
        <v>-0.32690214094761894</v>
      </c>
      <c r="C68">
        <f t="shared" si="3"/>
        <v>0.30113743215480315</v>
      </c>
      <c r="D68">
        <f t="shared" ref="D68:D131" si="7">+(A68+D$3)/E$3</f>
        <v>-0.75000000000000555</v>
      </c>
      <c r="E68">
        <f t="shared" ref="E68:E131" si="8">NORMDIST(D68,D$3,E$3,FALSE)</f>
        <v>0.30113743215480315</v>
      </c>
      <c r="F68" s="28">
        <f t="shared" si="4"/>
        <v>0.6657578298195781</v>
      </c>
    </row>
    <row r="69" spans="1:6">
      <c r="A69">
        <f t="shared" si="5"/>
        <v>-0.70000000000000551</v>
      </c>
      <c r="B69">
        <f t="shared" si="6"/>
        <v>-0.27690214094761889</v>
      </c>
      <c r="C69">
        <f t="shared" ref="C69:C132" si="9">NORMDIST(B69,B$3,C$3,FALSE)</f>
        <v>0.31225393336676005</v>
      </c>
      <c r="D69">
        <f t="shared" si="7"/>
        <v>-0.70000000000000551</v>
      </c>
      <c r="E69">
        <f t="shared" si="8"/>
        <v>0.31225393336676005</v>
      </c>
      <c r="F69" s="28">
        <f t="shared" ref="F69:F132" si="10">+EXP(A69*B$3-(B$3^2)/2)</f>
        <v>0.67999189465771614</v>
      </c>
    </row>
    <row r="70" spans="1:6">
      <c r="A70">
        <f t="shared" si="5"/>
        <v>-0.65000000000000546</v>
      </c>
      <c r="B70">
        <f t="shared" si="6"/>
        <v>-0.22690214094761885</v>
      </c>
      <c r="C70">
        <f t="shared" si="9"/>
        <v>0.3229723596679131</v>
      </c>
      <c r="D70">
        <f t="shared" si="7"/>
        <v>-0.65000000000000546</v>
      </c>
      <c r="E70">
        <f t="shared" si="8"/>
        <v>0.3229723596679131</v>
      </c>
      <c r="F70" s="28">
        <f t="shared" si="10"/>
        <v>0.69453028727502775</v>
      </c>
    </row>
    <row r="71" spans="1:6">
      <c r="A71">
        <f t="shared" ref="A71:A134" si="11">+A70+0.05</f>
        <v>-0.60000000000000542</v>
      </c>
      <c r="B71">
        <f t="shared" si="6"/>
        <v>-0.1769021409476188</v>
      </c>
      <c r="C71">
        <f t="shared" si="9"/>
        <v>0.33322460289179856</v>
      </c>
      <c r="D71">
        <f t="shared" si="7"/>
        <v>-0.60000000000000542</v>
      </c>
      <c r="E71">
        <f t="shared" si="8"/>
        <v>0.33322460289179856</v>
      </c>
      <c r="F71" s="28">
        <f t="shared" si="10"/>
        <v>0.70937951427368362</v>
      </c>
    </row>
    <row r="72" spans="1:6">
      <c r="A72">
        <f t="shared" si="11"/>
        <v>-0.55000000000000537</v>
      </c>
      <c r="B72">
        <f t="shared" si="6"/>
        <v>-0.12690214094761876</v>
      </c>
      <c r="C72">
        <f t="shared" si="9"/>
        <v>0.34294385501938285</v>
      </c>
      <c r="D72">
        <f t="shared" si="7"/>
        <v>-0.55000000000000537</v>
      </c>
      <c r="E72">
        <f t="shared" si="8"/>
        <v>0.34294385501938285</v>
      </c>
      <c r="F72" s="28">
        <f t="shared" si="10"/>
        <v>0.7245462213685967</v>
      </c>
    </row>
    <row r="73" spans="1:6">
      <c r="A73">
        <f t="shared" si="11"/>
        <v>-0.50000000000000533</v>
      </c>
      <c r="B73">
        <f t="shared" si="6"/>
        <v>-7.6902140947618713E-2</v>
      </c>
      <c r="C73">
        <f t="shared" si="9"/>
        <v>0.35206532676429853</v>
      </c>
      <c r="D73">
        <f t="shared" si="7"/>
        <v>-0.50000000000000533</v>
      </c>
      <c r="E73">
        <f t="shared" si="8"/>
        <v>0.35206532676429853</v>
      </c>
      <c r="F73" s="28">
        <f t="shared" si="10"/>
        <v>0.74003719636168619</v>
      </c>
    </row>
    <row r="74" spans="1:6">
      <c r="A74">
        <f t="shared" si="11"/>
        <v>-0.45000000000000534</v>
      </c>
      <c r="B74">
        <f t="shared" si="6"/>
        <v>-2.6902140947618725E-2</v>
      </c>
      <c r="C74">
        <f t="shared" si="9"/>
        <v>0.36052696246164706</v>
      </c>
      <c r="D74">
        <f t="shared" si="7"/>
        <v>-0.45000000000000534</v>
      </c>
      <c r="E74">
        <f t="shared" si="8"/>
        <v>0.36052696246164706</v>
      </c>
      <c r="F74" s="28">
        <f t="shared" si="10"/>
        <v>0.75585937217973231</v>
      </c>
    </row>
    <row r="75" spans="1:6">
      <c r="A75">
        <f t="shared" si="11"/>
        <v>-0.40000000000000535</v>
      </c>
      <c r="B75">
        <f t="shared" si="6"/>
        <v>2.3097859052381264E-2</v>
      </c>
      <c r="C75">
        <f t="shared" si="9"/>
        <v>0.36827014030332245</v>
      </c>
      <c r="D75">
        <f t="shared" si="7"/>
        <v>-0.40000000000000535</v>
      </c>
      <c r="E75">
        <f t="shared" si="8"/>
        <v>0.36827014030332245</v>
      </c>
      <c r="F75" s="28">
        <f t="shared" si="10"/>
        <v>0.77201982997718155</v>
      </c>
    </row>
    <row r="76" spans="1:6">
      <c r="A76">
        <f t="shared" si="11"/>
        <v>-0.35000000000000536</v>
      </c>
      <c r="B76">
        <f t="shared" si="6"/>
        <v>7.3097859052381253E-2</v>
      </c>
      <c r="C76">
        <f t="shared" si="9"/>
        <v>0.37524034691693714</v>
      </c>
      <c r="D76">
        <f t="shared" si="7"/>
        <v>-0.35000000000000536</v>
      </c>
      <c r="E76">
        <f t="shared" si="8"/>
        <v>0.37524034691693714</v>
      </c>
      <c r="F76" s="28">
        <f t="shared" si="10"/>
        <v>0.78852580230529012</v>
      </c>
    </row>
    <row r="77" spans="1:6">
      <c r="A77">
        <f t="shared" si="11"/>
        <v>-0.30000000000000537</v>
      </c>
      <c r="B77">
        <f t="shared" si="6"/>
        <v>0.12309785905238124</v>
      </c>
      <c r="C77">
        <f t="shared" si="9"/>
        <v>0.38138781546052347</v>
      </c>
      <c r="D77">
        <f t="shared" si="7"/>
        <v>-0.30000000000000537</v>
      </c>
      <c r="E77">
        <f t="shared" si="8"/>
        <v>0.38138781546052347</v>
      </c>
      <c r="F77" s="28">
        <f t="shared" si="10"/>
        <v>0.80538467634902478</v>
      </c>
    </row>
    <row r="78" spans="1:6">
      <c r="A78">
        <f t="shared" si="11"/>
        <v>-0.25000000000000538</v>
      </c>
      <c r="B78">
        <f t="shared" si="6"/>
        <v>0.17309785905238123</v>
      </c>
      <c r="C78">
        <f t="shared" si="9"/>
        <v>0.38666811680284868</v>
      </c>
      <c r="D78">
        <f t="shared" si="7"/>
        <v>-0.25000000000000538</v>
      </c>
      <c r="E78">
        <f t="shared" si="8"/>
        <v>0.38666811680284868</v>
      </c>
      <c r="F78" s="28">
        <f t="shared" si="10"/>
        <v>0.82260399723316913</v>
      </c>
    </row>
    <row r="79" spans="1:6">
      <c r="A79">
        <f t="shared" si="11"/>
        <v>-0.2000000000000054</v>
      </c>
      <c r="B79">
        <f t="shared" si="6"/>
        <v>0.22309785905238122</v>
      </c>
      <c r="C79">
        <f t="shared" si="9"/>
        <v>0.39104269397545544</v>
      </c>
      <c r="D79">
        <f t="shared" si="7"/>
        <v>-0.2000000000000054</v>
      </c>
      <c r="E79">
        <f t="shared" si="8"/>
        <v>0.39104269397545544</v>
      </c>
      <c r="F79" s="28">
        <f t="shared" si="10"/>
        <v>0.84019147139911576</v>
      </c>
    </row>
    <row r="80" spans="1:6">
      <c r="A80">
        <f t="shared" si="11"/>
        <v>-0.15000000000000541</v>
      </c>
      <c r="B80">
        <f t="shared" si="6"/>
        <v>0.27309785905238121</v>
      </c>
      <c r="C80">
        <f t="shared" si="9"/>
        <v>0.3944793309078885</v>
      </c>
      <c r="D80">
        <f t="shared" si="7"/>
        <v>-0.15000000000000541</v>
      </c>
      <c r="E80">
        <f t="shared" si="8"/>
        <v>0.3944793309078885</v>
      </c>
      <c r="F80" s="28">
        <f t="shared" si="10"/>
        <v>0.85815497005385433</v>
      </c>
    </row>
    <row r="81" spans="1:6">
      <c r="A81">
        <f t="shared" si="11"/>
        <v>-0.1000000000000054</v>
      </c>
      <c r="B81">
        <f t="shared" si="6"/>
        <v>0.3230978590523812</v>
      </c>
      <c r="C81">
        <f t="shared" si="9"/>
        <v>0.39695254747701153</v>
      </c>
      <c r="D81">
        <f t="shared" si="7"/>
        <v>-0.1000000000000054</v>
      </c>
      <c r="E81">
        <f t="shared" si="8"/>
        <v>0.39695254747701153</v>
      </c>
      <c r="F81" s="28">
        <f t="shared" si="10"/>
        <v>0.87650253269270051</v>
      </c>
    </row>
    <row r="82" spans="1:6">
      <c r="A82">
        <f t="shared" si="11"/>
        <v>-5.0000000000005401E-2</v>
      </c>
      <c r="B82">
        <f t="shared" si="6"/>
        <v>0.37309785905238124</v>
      </c>
      <c r="C82">
        <f t="shared" si="9"/>
        <v>0.39844391409476387</v>
      </c>
      <c r="D82">
        <f t="shared" si="7"/>
        <v>-5.0000000000005401E-2</v>
      </c>
      <c r="E82">
        <f t="shared" si="8"/>
        <v>0.39844391409476387</v>
      </c>
      <c r="F82" s="28">
        <f t="shared" si="10"/>
        <v>0.89524237069734147</v>
      </c>
    </row>
    <row r="83" spans="1:6">
      <c r="A83">
        <f t="shared" si="11"/>
        <v>-5.3984594572398237E-15</v>
      </c>
      <c r="B83">
        <f t="shared" si="6"/>
        <v>0.42309785905238123</v>
      </c>
      <c r="C83">
        <f t="shared" si="9"/>
        <v>0.39894228040143265</v>
      </c>
      <c r="D83">
        <f t="shared" si="7"/>
        <v>-5.3984594572398237E-15</v>
      </c>
      <c r="E83">
        <f t="shared" si="8"/>
        <v>0.39894228040143265</v>
      </c>
      <c r="F83" s="28">
        <f t="shared" si="10"/>
        <v>0.91438287101080795</v>
      </c>
    </row>
    <row r="84" spans="1:6">
      <c r="A84">
        <f t="shared" si="11"/>
        <v>4.9999999999994604E-2</v>
      </c>
      <c r="B84">
        <f t="shared" si="6"/>
        <v>0.47309785905238122</v>
      </c>
      <c r="C84">
        <f t="shared" si="9"/>
        <v>0.3984439140947641</v>
      </c>
      <c r="D84">
        <f t="shared" si="7"/>
        <v>4.9999999999994604E-2</v>
      </c>
      <c r="E84">
        <f t="shared" si="8"/>
        <v>0.3984439140947641</v>
      </c>
      <c r="F84" s="28">
        <f t="shared" si="10"/>
        <v>0.93393259989101951</v>
      </c>
    </row>
    <row r="85" spans="1:6">
      <c r="A85">
        <f t="shared" si="11"/>
        <v>9.9999999999994607E-2</v>
      </c>
      <c r="B85">
        <f t="shared" si="6"/>
        <v>0.52309785905238126</v>
      </c>
      <c r="C85">
        <f t="shared" si="9"/>
        <v>0.39695254747701197</v>
      </c>
      <c r="D85">
        <f t="shared" si="7"/>
        <v>9.9999999999994607E-2</v>
      </c>
      <c r="E85">
        <f t="shared" si="8"/>
        <v>0.39695254747701197</v>
      </c>
      <c r="F85" s="28">
        <f t="shared" si="10"/>
        <v>0.9539003067445796</v>
      </c>
    </row>
    <row r="86" spans="1:6">
      <c r="A86">
        <f t="shared" si="11"/>
        <v>0.14999999999999461</v>
      </c>
      <c r="B86">
        <f t="shared" si="6"/>
        <v>0.5730978590523812</v>
      </c>
      <c r="C86">
        <f t="shared" si="9"/>
        <v>0.39447933090788917</v>
      </c>
      <c r="D86">
        <f t="shared" si="7"/>
        <v>0.14999999999999461</v>
      </c>
      <c r="E86">
        <f t="shared" si="8"/>
        <v>0.39447933090788917</v>
      </c>
      <c r="F86" s="28">
        <f t="shared" si="10"/>
        <v>0.97429492804253981</v>
      </c>
    </row>
    <row r="87" spans="1:6">
      <c r="A87">
        <f t="shared" si="11"/>
        <v>0.19999999999999463</v>
      </c>
      <c r="B87">
        <f t="shared" si="6"/>
        <v>0.62309785905238124</v>
      </c>
      <c r="C87">
        <f t="shared" si="9"/>
        <v>0.39104269397545627</v>
      </c>
      <c r="D87">
        <f t="shared" si="7"/>
        <v>0.19999999999999463</v>
      </c>
      <c r="E87">
        <f t="shared" si="8"/>
        <v>0.39104269397545627</v>
      </c>
      <c r="F87" s="28">
        <f t="shared" si="10"/>
        <v>0.99512559131988343</v>
      </c>
    </row>
    <row r="88" spans="1:6">
      <c r="A88">
        <f t="shared" si="11"/>
        <v>0.24999999999999462</v>
      </c>
      <c r="B88">
        <f t="shared" si="6"/>
        <v>0.67309785905238129</v>
      </c>
      <c r="C88">
        <f t="shared" si="9"/>
        <v>0.38666811680284968</v>
      </c>
      <c r="D88">
        <f t="shared" si="7"/>
        <v>0.24999999999999462</v>
      </c>
      <c r="E88">
        <f t="shared" si="8"/>
        <v>0.38666811680284968</v>
      </c>
      <c r="F88" s="28">
        <f t="shared" si="10"/>
        <v>1.0164016192605183</v>
      </c>
    </row>
    <row r="89" spans="1:6">
      <c r="A89">
        <f t="shared" si="11"/>
        <v>0.2999999999999946</v>
      </c>
      <c r="B89">
        <f t="shared" si="6"/>
        <v>0.72309785905238122</v>
      </c>
      <c r="C89">
        <f t="shared" si="9"/>
        <v>0.38138781546052464</v>
      </c>
      <c r="D89">
        <f t="shared" si="7"/>
        <v>0.2999999999999946</v>
      </c>
      <c r="E89">
        <f t="shared" si="8"/>
        <v>0.38138781546052464</v>
      </c>
      <c r="F89" s="28">
        <f t="shared" si="10"/>
        <v>1.038132533869609</v>
      </c>
    </row>
    <row r="90" spans="1:6">
      <c r="A90">
        <f t="shared" si="11"/>
        <v>0.34999999999999459</v>
      </c>
      <c r="B90">
        <f t="shared" si="6"/>
        <v>0.77309785905238115</v>
      </c>
      <c r="C90">
        <f t="shared" si="9"/>
        <v>0.37524034691693858</v>
      </c>
      <c r="D90">
        <f t="shared" si="7"/>
        <v>0.34999999999999459</v>
      </c>
      <c r="E90">
        <f t="shared" si="8"/>
        <v>0.37524034691693858</v>
      </c>
      <c r="F90" s="28">
        <f t="shared" si="10"/>
        <v>1.0603280607351138</v>
      </c>
    </row>
    <row r="91" spans="1:6">
      <c r="A91">
        <f t="shared" si="11"/>
        <v>0.39999999999999458</v>
      </c>
      <c r="B91">
        <f t="shared" si="6"/>
        <v>0.8230978590523812</v>
      </c>
      <c r="C91">
        <f t="shared" si="9"/>
        <v>0.36827014030332406</v>
      </c>
      <c r="D91">
        <f t="shared" si="7"/>
        <v>0.39999999999999458</v>
      </c>
      <c r="E91">
        <f t="shared" si="8"/>
        <v>0.36827014030332406</v>
      </c>
      <c r="F91" s="28">
        <f t="shared" si="10"/>
        <v>1.0829981333804344</v>
      </c>
    </row>
    <row r="92" spans="1:6">
      <c r="A92">
        <f t="shared" si="11"/>
        <v>0.44999999999999457</v>
      </c>
      <c r="B92">
        <f t="shared" si="6"/>
        <v>0.87309785905238124</v>
      </c>
      <c r="C92">
        <f t="shared" si="9"/>
        <v>0.36052696246164878</v>
      </c>
      <c r="D92">
        <f t="shared" si="7"/>
        <v>0.44999999999999457</v>
      </c>
      <c r="E92">
        <f t="shared" si="8"/>
        <v>0.36052696246164878</v>
      </c>
      <c r="F92" s="28">
        <f t="shared" si="10"/>
        <v>1.1061528977101267</v>
      </c>
    </row>
    <row r="93" spans="1:6">
      <c r="A93">
        <f t="shared" si="11"/>
        <v>0.49999999999999456</v>
      </c>
      <c r="B93">
        <f t="shared" si="6"/>
        <v>0.92309785905238118</v>
      </c>
      <c r="C93">
        <f t="shared" si="9"/>
        <v>0.35206532676430041</v>
      </c>
      <c r="D93">
        <f t="shared" si="7"/>
        <v>0.49999999999999456</v>
      </c>
      <c r="E93">
        <f t="shared" si="8"/>
        <v>0.35206532676430041</v>
      </c>
      <c r="F93" s="28">
        <f t="shared" si="10"/>
        <v>1.129802716550661</v>
      </c>
    </row>
    <row r="94" spans="1:6">
      <c r="A94">
        <f t="shared" si="11"/>
        <v>0.5499999999999946</v>
      </c>
      <c r="B94">
        <f t="shared" si="6"/>
        <v>0.97309785905238122</v>
      </c>
      <c r="C94">
        <f t="shared" si="9"/>
        <v>0.3429438550193849</v>
      </c>
      <c r="D94">
        <f t="shared" si="7"/>
        <v>0.5499999999999946</v>
      </c>
      <c r="E94">
        <f t="shared" si="8"/>
        <v>0.3429438550193849</v>
      </c>
      <c r="F94" s="28">
        <f t="shared" si="10"/>
        <v>1.1539581742882663</v>
      </c>
    </row>
    <row r="95" spans="1:6">
      <c r="A95">
        <f t="shared" si="11"/>
        <v>0.59999999999999465</v>
      </c>
      <c r="B95">
        <f t="shared" si="6"/>
        <v>1.0230978590523812</v>
      </c>
      <c r="C95">
        <f t="shared" si="9"/>
        <v>0.33322460289180073</v>
      </c>
      <c r="D95">
        <f t="shared" si="7"/>
        <v>0.59999999999999465</v>
      </c>
      <c r="E95">
        <f t="shared" si="8"/>
        <v>0.33322460289180067</v>
      </c>
      <c r="F95" s="28">
        <f t="shared" si="10"/>
        <v>1.1786300816059316</v>
      </c>
    </row>
    <row r="96" spans="1:6">
      <c r="A96">
        <f t="shared" si="11"/>
        <v>0.64999999999999469</v>
      </c>
      <c r="B96">
        <f t="shared" si="6"/>
        <v>1.0730978590523814</v>
      </c>
      <c r="C96">
        <f t="shared" si="9"/>
        <v>0.32297235966791538</v>
      </c>
      <c r="D96">
        <f t="shared" si="7"/>
        <v>0.64999999999999469</v>
      </c>
      <c r="E96">
        <f t="shared" si="8"/>
        <v>0.32297235966791538</v>
      </c>
      <c r="F96" s="28">
        <f t="shared" si="10"/>
        <v>1.203829480321686</v>
      </c>
    </row>
    <row r="97" spans="1:6">
      <c r="A97">
        <f t="shared" si="11"/>
        <v>0.69999999999999474</v>
      </c>
      <c r="B97">
        <f t="shared" si="6"/>
        <v>1.1230978590523812</v>
      </c>
      <c r="C97">
        <f t="shared" si="9"/>
        <v>0.31225393336676244</v>
      </c>
      <c r="D97">
        <f t="shared" si="7"/>
        <v>0.69999999999999474</v>
      </c>
      <c r="E97">
        <f t="shared" si="8"/>
        <v>0.31225393336676238</v>
      </c>
      <c r="F97" s="28">
        <f t="shared" si="10"/>
        <v>1.2295676483303217</v>
      </c>
    </row>
    <row r="98" spans="1:6">
      <c r="A98">
        <f t="shared" si="11"/>
        <v>0.74999999999999478</v>
      </c>
      <c r="B98">
        <f t="shared" si="6"/>
        <v>1.1730978590523815</v>
      </c>
      <c r="C98">
        <f t="shared" si="9"/>
        <v>0.30113743215480554</v>
      </c>
      <c r="D98">
        <f t="shared" si="7"/>
        <v>0.74999999999999478</v>
      </c>
      <c r="E98">
        <f t="shared" si="8"/>
        <v>0.30113743215480554</v>
      </c>
      <c r="F98" s="28">
        <f t="shared" si="10"/>
        <v>1.2558561046507737</v>
      </c>
    </row>
    <row r="99" spans="1:6">
      <c r="A99">
        <f t="shared" si="11"/>
        <v>0.79999999999999483</v>
      </c>
      <c r="B99">
        <f t="shared" si="6"/>
        <v>1.2230978590523813</v>
      </c>
      <c r="C99">
        <f t="shared" si="9"/>
        <v>0.28969155276148389</v>
      </c>
      <c r="D99">
        <f t="shared" si="7"/>
        <v>0.79999999999999483</v>
      </c>
      <c r="E99">
        <f t="shared" si="8"/>
        <v>0.28969155276148389</v>
      </c>
      <c r="F99" s="28">
        <f t="shared" si="10"/>
        <v>1.2827066145814119</v>
      </c>
    </row>
    <row r="100" spans="1:6">
      <c r="A100">
        <f t="shared" si="11"/>
        <v>0.84999999999999487</v>
      </c>
      <c r="B100">
        <f t="shared" si="6"/>
        <v>1.2730978590523816</v>
      </c>
      <c r="C100">
        <f t="shared" si="9"/>
        <v>0.27798488613099759</v>
      </c>
      <c r="D100">
        <f t="shared" si="7"/>
        <v>0.84999999999999487</v>
      </c>
      <c r="E100">
        <f t="shared" si="8"/>
        <v>0.27798488613099764</v>
      </c>
      <c r="F100" s="28">
        <f t="shared" si="10"/>
        <v>1.3101311949655561</v>
      </c>
    </row>
    <row r="101" spans="1:6">
      <c r="A101">
        <f t="shared" si="11"/>
        <v>0.89999999999999492</v>
      </c>
      <c r="B101">
        <f t="shared" si="6"/>
        <v>1.3230978590523814</v>
      </c>
      <c r="C101">
        <f t="shared" si="9"/>
        <v>0.26608524989875604</v>
      </c>
      <c r="D101">
        <f t="shared" si="7"/>
        <v>0.89999999999999492</v>
      </c>
      <c r="E101">
        <f t="shared" si="8"/>
        <v>0.26608524989875604</v>
      </c>
      <c r="F101" s="28">
        <f t="shared" si="10"/>
        <v>1.3381421195695684</v>
      </c>
    </row>
    <row r="102" spans="1:6">
      <c r="A102">
        <f t="shared" si="11"/>
        <v>0.94999999999999496</v>
      </c>
      <c r="B102">
        <f t="shared" si="6"/>
        <v>1.3730978590523817</v>
      </c>
      <c r="C102">
        <f t="shared" si="9"/>
        <v>0.25405905646919014</v>
      </c>
      <c r="D102">
        <f t="shared" si="7"/>
        <v>0.94999999999999496</v>
      </c>
      <c r="E102">
        <f t="shared" si="8"/>
        <v>0.25405905646919019</v>
      </c>
      <c r="F102" s="28">
        <f t="shared" si="10"/>
        <v>1.3667519245759305</v>
      </c>
    </row>
    <row r="103" spans="1:6">
      <c r="A103">
        <f t="shared" si="11"/>
        <v>0.999999999999995</v>
      </c>
      <c r="B103">
        <f t="shared" si="6"/>
        <v>1.4230978590523815</v>
      </c>
      <c r="C103">
        <f t="shared" si="9"/>
        <v>0.24197072451914456</v>
      </c>
      <c r="D103">
        <f t="shared" si="7"/>
        <v>0.999999999999995</v>
      </c>
      <c r="E103">
        <f t="shared" si="8"/>
        <v>0.24197072451914453</v>
      </c>
      <c r="F103" s="28">
        <f t="shared" si="10"/>
        <v>1.3959734141937634</v>
      </c>
    </row>
    <row r="104" spans="1:6">
      <c r="A104">
        <f t="shared" si="11"/>
        <v>1.0499999999999949</v>
      </c>
      <c r="B104">
        <f t="shared" si="6"/>
        <v>1.4730978590523816</v>
      </c>
      <c r="C104">
        <f t="shared" si="9"/>
        <v>0.22988214068423421</v>
      </c>
      <c r="D104">
        <f t="shared" si="7"/>
        <v>1.0499999999999949</v>
      </c>
      <c r="E104">
        <f t="shared" si="8"/>
        <v>0.22988214068423421</v>
      </c>
      <c r="F104" s="28">
        <f t="shared" si="10"/>
        <v>1.4258196663893044</v>
      </c>
    </row>
    <row r="105" spans="1:6">
      <c r="A105">
        <f t="shared" si="11"/>
        <v>1.099999999999995</v>
      </c>
      <c r="B105">
        <f t="shared" si="6"/>
        <v>1.5230978590523816</v>
      </c>
      <c r="C105">
        <f t="shared" si="9"/>
        <v>0.21785217703255175</v>
      </c>
      <c r="D105">
        <f t="shared" si="7"/>
        <v>1.099999999999995</v>
      </c>
      <c r="E105">
        <f t="shared" si="8"/>
        <v>0.21785217703255175</v>
      </c>
      <c r="F105" s="28">
        <f t="shared" si="10"/>
        <v>1.4563040387388986</v>
      </c>
    </row>
    <row r="106" spans="1:6">
      <c r="A106">
        <f t="shared" si="11"/>
        <v>1.149999999999995</v>
      </c>
      <c r="B106">
        <f t="shared" si="6"/>
        <v>1.5730978590523816</v>
      </c>
      <c r="C106">
        <f t="shared" si="9"/>
        <v>0.20593626871997592</v>
      </c>
      <c r="D106">
        <f t="shared" si="7"/>
        <v>1.149999999999995</v>
      </c>
      <c r="E106">
        <f t="shared" si="8"/>
        <v>0.20593626871997592</v>
      </c>
      <c r="F106" s="28">
        <f t="shared" si="10"/>
        <v>1.4874401744071333</v>
      </c>
    </row>
    <row r="107" spans="1:6">
      <c r="A107">
        <f t="shared" si="11"/>
        <v>1.1999999999999951</v>
      </c>
      <c r="B107">
        <f t="shared" si="6"/>
        <v>1.6230978590523817</v>
      </c>
      <c r="C107">
        <f t="shared" si="9"/>
        <v>0.19418605498321406</v>
      </c>
      <c r="D107">
        <f t="shared" si="7"/>
        <v>1.1999999999999951</v>
      </c>
      <c r="E107">
        <f t="shared" si="8"/>
        <v>0.19418605498321406</v>
      </c>
      <c r="F107" s="28">
        <f t="shared" si="10"/>
        <v>1.5192420082527831</v>
      </c>
    </row>
    <row r="108" spans="1:6">
      <c r="A108">
        <f t="shared" si="11"/>
        <v>1.2499999999999951</v>
      </c>
      <c r="B108">
        <f t="shared" si="6"/>
        <v>1.6730978590523817</v>
      </c>
      <c r="C108">
        <f t="shared" si="9"/>
        <v>0.182649085389023</v>
      </c>
      <c r="D108">
        <f t="shared" si="7"/>
        <v>1.2499999999999951</v>
      </c>
      <c r="E108">
        <f t="shared" si="8"/>
        <v>0.182649085389023</v>
      </c>
      <c r="F108" s="28">
        <f t="shared" si="10"/>
        <v>1.5517237730653033</v>
      </c>
    </row>
    <row r="109" spans="1:6">
      <c r="A109">
        <f t="shared" si="11"/>
        <v>1.2999999999999952</v>
      </c>
      <c r="B109">
        <f t="shared" si="6"/>
        <v>1.7230978590523818</v>
      </c>
      <c r="C109">
        <f t="shared" si="9"/>
        <v>0.17136859204780841</v>
      </c>
      <c r="D109">
        <f t="shared" si="7"/>
        <v>1.2999999999999952</v>
      </c>
      <c r="E109">
        <f t="shared" si="8"/>
        <v>0.17136859204780841</v>
      </c>
      <c r="F109" s="28">
        <f t="shared" si="10"/>
        <v>1.5849000059346599</v>
      </c>
    </row>
    <row r="110" spans="1:6">
      <c r="A110">
        <f t="shared" si="11"/>
        <v>1.3499999999999952</v>
      </c>
      <c r="B110">
        <f t="shared" si="6"/>
        <v>1.7730978590523818</v>
      </c>
      <c r="C110">
        <f t="shared" si="9"/>
        <v>0.16038332734192062</v>
      </c>
      <c r="D110">
        <f t="shared" si="7"/>
        <v>1.3499999999999952</v>
      </c>
      <c r="E110">
        <f t="shared" si="8"/>
        <v>0.16038332734192062</v>
      </c>
      <c r="F110" s="28">
        <f t="shared" si="10"/>
        <v>1.61878555475735</v>
      </c>
    </row>
    <row r="111" spans="1:6">
      <c r="A111">
        <f t="shared" si="11"/>
        <v>1.3999999999999952</v>
      </c>
      <c r="B111">
        <f t="shared" si="6"/>
        <v>1.8230978590523819</v>
      </c>
      <c r="C111">
        <f t="shared" si="9"/>
        <v>0.14972746563574585</v>
      </c>
      <c r="D111">
        <f t="shared" si="7"/>
        <v>1.3999999999999952</v>
      </c>
      <c r="E111">
        <f t="shared" si="8"/>
        <v>0.14972746563574585</v>
      </c>
      <c r="F111" s="28">
        <f t="shared" si="10"/>
        <v>1.6533955848815196</v>
      </c>
    </row>
    <row r="112" spans="1:6">
      <c r="A112">
        <f t="shared" si="11"/>
        <v>1.4499999999999953</v>
      </c>
      <c r="B112">
        <f t="shared" si="6"/>
        <v>1.8730978590523819</v>
      </c>
      <c r="C112">
        <f t="shared" si="9"/>
        <v>0.1394305664453612</v>
      </c>
      <c r="D112">
        <f t="shared" si="7"/>
        <v>1.4499999999999953</v>
      </c>
      <c r="E112">
        <f t="shared" si="8"/>
        <v>0.1394305664453612</v>
      </c>
      <c r="F112" s="28">
        <f t="shared" si="10"/>
        <v>1.6887455858941594</v>
      </c>
    </row>
    <row r="113" spans="1:6">
      <c r="A113">
        <f t="shared" si="11"/>
        <v>1.4999999999999953</v>
      </c>
      <c r="B113">
        <f t="shared" si="6"/>
        <v>1.923097859052382</v>
      </c>
      <c r="C113">
        <f t="shared" si="9"/>
        <v>0.12951759566589263</v>
      </c>
      <c r="D113">
        <f t="shared" si="7"/>
        <v>1.4999999999999953</v>
      </c>
      <c r="E113">
        <f t="shared" si="8"/>
        <v>0.12951759566589263</v>
      </c>
      <c r="F113" s="28">
        <f t="shared" si="10"/>
        <v>1.7248513785534079</v>
      </c>
    </row>
    <row r="114" spans="1:6">
      <c r="A114">
        <f t="shared" si="11"/>
        <v>1.5499999999999954</v>
      </c>
      <c r="B114">
        <f t="shared" si="6"/>
        <v>1.973097859052382</v>
      </c>
      <c r="C114">
        <f t="shared" si="9"/>
        <v>0.12000900069698645</v>
      </c>
      <c r="D114">
        <f t="shared" si="7"/>
        <v>1.5499999999999954</v>
      </c>
      <c r="E114">
        <f t="shared" si="8"/>
        <v>0.12000900069698645</v>
      </c>
      <c r="F114" s="28">
        <f t="shared" si="10"/>
        <v>1.7617291218690738</v>
      </c>
    </row>
    <row r="115" spans="1:6">
      <c r="A115">
        <f t="shared" si="11"/>
        <v>1.5999999999999954</v>
      </c>
      <c r="B115">
        <f t="shared" si="6"/>
        <v>2.023097859052382</v>
      </c>
      <c r="C115">
        <f t="shared" si="9"/>
        <v>0.11092083467945635</v>
      </c>
      <c r="D115">
        <f t="shared" si="7"/>
        <v>1.5999999999999954</v>
      </c>
      <c r="E115">
        <f t="shared" si="8"/>
        <v>0.11092083467945635</v>
      </c>
      <c r="F115" s="28">
        <f t="shared" si="10"/>
        <v>1.7993953203345374</v>
      </c>
    </row>
    <row r="116" spans="1:6">
      <c r="A116">
        <f t="shared" si="11"/>
        <v>1.6499999999999955</v>
      </c>
      <c r="B116">
        <f t="shared" si="6"/>
        <v>2.0730978590523819</v>
      </c>
      <c r="C116">
        <f t="shared" si="9"/>
        <v>0.10226492456397882</v>
      </c>
      <c r="D116">
        <f t="shared" si="7"/>
        <v>1.6499999999999955</v>
      </c>
      <c r="E116">
        <f t="shared" si="8"/>
        <v>0.10226492456397877</v>
      </c>
      <c r="F116" s="28">
        <f t="shared" si="10"/>
        <v>1.8378668313132747</v>
      </c>
    </row>
    <row r="117" spans="1:6">
      <c r="A117">
        <f t="shared" si="11"/>
        <v>1.6999999999999955</v>
      </c>
      <c r="B117">
        <f t="shared" si="6"/>
        <v>2.1230978590523821</v>
      </c>
      <c r="C117">
        <f t="shared" si="9"/>
        <v>9.4049077376887641E-2</v>
      </c>
      <c r="D117">
        <f t="shared" si="7"/>
        <v>1.6999999999999955</v>
      </c>
      <c r="E117">
        <f t="shared" si="8"/>
        <v>9.4049077376887641E-2</v>
      </c>
      <c r="F117" s="28">
        <f t="shared" si="10"/>
        <v>1.8771608725833053</v>
      </c>
    </row>
    <row r="118" spans="1:6">
      <c r="A118">
        <f t="shared" si="11"/>
        <v>1.7499999999999956</v>
      </c>
      <c r="B118">
        <f t="shared" si="6"/>
        <v>2.1730978590523824</v>
      </c>
      <c r="C118">
        <f t="shared" si="9"/>
        <v>8.6277318826512142E-2</v>
      </c>
      <c r="D118">
        <f t="shared" si="7"/>
        <v>1.7499999999999956</v>
      </c>
      <c r="E118">
        <f t="shared" si="8"/>
        <v>8.6277318826512184E-2</v>
      </c>
      <c r="F118" s="28">
        <f t="shared" si="10"/>
        <v>1.9172950300429448</v>
      </c>
    </row>
    <row r="119" spans="1:6">
      <c r="A119">
        <f t="shared" si="11"/>
        <v>1.7999999999999956</v>
      </c>
      <c r="B119">
        <f t="shared" si="6"/>
        <v>2.2230978590523822</v>
      </c>
      <c r="C119">
        <f t="shared" si="9"/>
        <v>7.8950158300894774E-2</v>
      </c>
      <c r="D119">
        <f t="shared" si="7"/>
        <v>1.7999999999999956</v>
      </c>
      <c r="E119">
        <f t="shared" si="8"/>
        <v>7.8950158300894774E-2</v>
      </c>
      <c r="F119" s="28">
        <f t="shared" si="10"/>
        <v>1.9582872655813044</v>
      </c>
    </row>
    <row r="120" spans="1:6">
      <c r="A120">
        <f t="shared" si="11"/>
        <v>1.8499999999999956</v>
      </c>
      <c r="B120">
        <f t="shared" si="6"/>
        <v>2.273097859052382</v>
      </c>
      <c r="C120">
        <f t="shared" si="9"/>
        <v>7.2064874336218596E-2</v>
      </c>
      <c r="D120">
        <f t="shared" si="7"/>
        <v>1.8499999999999956</v>
      </c>
      <c r="E120">
        <f t="shared" si="8"/>
        <v>7.2064874336218568E-2</v>
      </c>
      <c r="F120" s="28">
        <f t="shared" si="10"/>
        <v>2.0001559251170677</v>
      </c>
    </row>
    <row r="121" spans="1:6">
      <c r="A121">
        <f t="shared" si="11"/>
        <v>1.8999999999999957</v>
      </c>
      <c r="B121">
        <f t="shared" si="6"/>
        <v>2.3230978590523823</v>
      </c>
      <c r="C121">
        <f t="shared" si="9"/>
        <v>6.5615814774677136E-2</v>
      </c>
      <c r="D121">
        <f t="shared" si="7"/>
        <v>1.8999999999999957</v>
      </c>
      <c r="E121">
        <f t="shared" si="8"/>
        <v>6.5615814774677136E-2</v>
      </c>
      <c r="F121" s="28">
        <f t="shared" si="10"/>
        <v>2.0429197468091354</v>
      </c>
    </row>
    <row r="122" spans="1:6">
      <c r="A122">
        <f t="shared" si="11"/>
        <v>1.9499999999999957</v>
      </c>
      <c r="B122">
        <f t="shared" si="6"/>
        <v>2.3730978590523826</v>
      </c>
      <c r="C122">
        <f t="shared" si="9"/>
        <v>5.9594706068816533E-2</v>
      </c>
      <c r="D122">
        <f t="shared" si="7"/>
        <v>1.9499999999999957</v>
      </c>
      <c r="E122">
        <f t="shared" si="8"/>
        <v>5.9594706068816568E-2</v>
      </c>
      <c r="F122" s="28">
        <f t="shared" si="10"/>
        <v>2.086597869442818</v>
      </c>
    </row>
    <row r="123" spans="1:6">
      <c r="A123">
        <f t="shared" si="11"/>
        <v>1.9999999999999958</v>
      </c>
      <c r="B123">
        <f t="shared" si="6"/>
        <v>2.4230978590523824</v>
      </c>
      <c r="C123">
        <f t="shared" si="9"/>
        <v>5.3990966513188507E-2</v>
      </c>
      <c r="D123">
        <f t="shared" si="7"/>
        <v>1.9999999999999958</v>
      </c>
      <c r="E123">
        <f t="shared" si="8"/>
        <v>5.3990966513188507E-2</v>
      </c>
      <c r="F123" s="28">
        <f t="shared" si="10"/>
        <v>2.1312098409953255</v>
      </c>
    </row>
    <row r="124" spans="1:6">
      <c r="A124">
        <f t="shared" si="11"/>
        <v>2.0499999999999958</v>
      </c>
      <c r="B124">
        <f t="shared" si="6"/>
        <v>2.4730978590523822</v>
      </c>
      <c r="C124">
        <f t="shared" si="9"/>
        <v>4.8792018579183215E-2</v>
      </c>
      <c r="D124">
        <f t="shared" si="7"/>
        <v>2.0499999999999958</v>
      </c>
      <c r="E124">
        <f t="shared" si="8"/>
        <v>4.8792018579183173E-2</v>
      </c>
      <c r="F124" s="28">
        <f t="shared" si="10"/>
        <v>2.176775627384389</v>
      </c>
    </row>
    <row r="125" spans="1:6">
      <c r="A125">
        <f t="shared" si="11"/>
        <v>2.0999999999999956</v>
      </c>
      <c r="B125">
        <f t="shared" si="6"/>
        <v>2.523097859052382</v>
      </c>
      <c r="C125">
        <f t="shared" si="9"/>
        <v>4.3983595980427635E-2</v>
      </c>
      <c r="D125">
        <f t="shared" si="7"/>
        <v>2.0999999999999956</v>
      </c>
      <c r="E125">
        <f t="shared" si="8"/>
        <v>4.3983595980427594E-2</v>
      </c>
      <c r="F125" s="28">
        <f t="shared" si="10"/>
        <v>2.2233156214039336</v>
      </c>
    </row>
    <row r="126" spans="1:6">
      <c r="A126">
        <f t="shared" si="11"/>
        <v>2.1499999999999955</v>
      </c>
      <c r="B126">
        <f t="shared" si="6"/>
        <v>2.5730978590523819</v>
      </c>
      <c r="C126">
        <f t="shared" si="9"/>
        <v>3.9550041589370644E-2</v>
      </c>
      <c r="D126">
        <f t="shared" si="7"/>
        <v>2.1499999999999955</v>
      </c>
      <c r="E126">
        <f t="shared" si="8"/>
        <v>3.9550041589370588E-2</v>
      </c>
      <c r="F126" s="28">
        <f t="shared" si="10"/>
        <v>2.2708506518507932</v>
      </c>
    </row>
    <row r="127" spans="1:6">
      <c r="A127">
        <f t="shared" si="11"/>
        <v>2.1999999999999953</v>
      </c>
      <c r="B127">
        <f t="shared" si="6"/>
        <v>2.6230978590523817</v>
      </c>
      <c r="C127">
        <f t="shared" si="9"/>
        <v>3.5474592846231827E-2</v>
      </c>
      <c r="D127">
        <f t="shared" si="7"/>
        <v>2.1999999999999953</v>
      </c>
      <c r="E127">
        <f t="shared" si="8"/>
        <v>3.5474592846231792E-2</v>
      </c>
      <c r="F127" s="28">
        <f t="shared" si="10"/>
        <v>2.3194019928465601</v>
      </c>
    </row>
    <row r="128" spans="1:6">
      <c r="A128">
        <f t="shared" si="11"/>
        <v>2.2499999999999951</v>
      </c>
      <c r="B128">
        <f t="shared" si="6"/>
        <v>2.6730978590523815</v>
      </c>
      <c r="C128">
        <f t="shared" si="9"/>
        <v>3.1739651835667793E-2</v>
      </c>
      <c r="D128">
        <f t="shared" si="7"/>
        <v>2.2499999999999951</v>
      </c>
      <c r="E128">
        <f t="shared" si="8"/>
        <v>3.1739651835667765E-2</v>
      </c>
      <c r="F128" s="28">
        <f t="shared" si="10"/>
        <v>2.368991373358738</v>
      </c>
    </row>
    <row r="129" spans="1:6">
      <c r="A129">
        <f t="shared" si="11"/>
        <v>2.2999999999999949</v>
      </c>
      <c r="B129">
        <f t="shared" si="6"/>
        <v>2.7230978590523813</v>
      </c>
      <c r="C129">
        <f t="shared" si="9"/>
        <v>2.8327037741601533E-2</v>
      </c>
      <c r="D129">
        <f t="shared" si="7"/>
        <v>2.2999999999999949</v>
      </c>
      <c r="E129">
        <f t="shared" si="8"/>
        <v>2.8327037741601498E-2</v>
      </c>
      <c r="F129" s="28">
        <f t="shared" si="10"/>
        <v>2.4196409869254554</v>
      </c>
    </row>
    <row r="130" spans="1:6">
      <c r="A130">
        <f t="shared" si="11"/>
        <v>2.3499999999999948</v>
      </c>
      <c r="B130">
        <f t="shared" si="6"/>
        <v>2.7730978590523812</v>
      </c>
      <c r="C130">
        <f t="shared" si="9"/>
        <v>2.5218219915194722E-2</v>
      </c>
      <c r="D130">
        <f t="shared" si="7"/>
        <v>2.3499999999999948</v>
      </c>
      <c r="E130">
        <f t="shared" si="8"/>
        <v>2.5218219915194701E-2</v>
      </c>
      <c r="F130" s="28">
        <f t="shared" si="10"/>
        <v>2.471373501588102</v>
      </c>
    </row>
    <row r="131" spans="1:6">
      <c r="A131">
        <f t="shared" si="11"/>
        <v>2.3999999999999946</v>
      </c>
      <c r="B131">
        <f t="shared" si="6"/>
        <v>2.823097859052381</v>
      </c>
      <c r="C131">
        <f t="shared" si="9"/>
        <v>2.2394530294843208E-2</v>
      </c>
      <c r="D131">
        <f t="shared" si="7"/>
        <v>2.3999999999999946</v>
      </c>
      <c r="E131">
        <f t="shared" si="8"/>
        <v>2.2394530294843187E-2</v>
      </c>
      <c r="F131" s="28">
        <f t="shared" si="10"/>
        <v>2.5242120700363238</v>
      </c>
    </row>
    <row r="132" spans="1:6">
      <c r="A132">
        <f t="shared" si="11"/>
        <v>2.4499999999999944</v>
      </c>
      <c r="B132">
        <f t="shared" ref="B132:B163" si="12">+(A132+B$3)/C$3</f>
        <v>2.8730978590523808</v>
      </c>
      <c r="C132">
        <f t="shared" si="9"/>
        <v>1.9837354391795618E-2</v>
      </c>
      <c r="D132">
        <f t="shared" ref="D132:D163" si="13">+(A132+D$3)/E$3</f>
        <v>2.4499999999999944</v>
      </c>
      <c r="E132">
        <f t="shared" ref="E132:E163" si="14">NORMDIST(D132,D$3,E$3,FALSE)</f>
        <v>1.9837354391795591E-2</v>
      </c>
      <c r="F132" s="28">
        <f t="shared" si="10"/>
        <v>2.5781803399699195</v>
      </c>
    </row>
    <row r="133" spans="1:6">
      <c r="A133">
        <f t="shared" si="11"/>
        <v>2.4999999999999942</v>
      </c>
      <c r="B133">
        <f t="shared" si="12"/>
        <v>2.9230978590523806</v>
      </c>
      <c r="C133">
        <f t="shared" ref="C133:C163" si="15">NORMDIST(B133,B$3,C$3,FALSE)</f>
        <v>1.7528300493568807E-2</v>
      </c>
      <c r="D133">
        <f t="shared" si="13"/>
        <v>2.4999999999999942</v>
      </c>
      <c r="E133">
        <f t="shared" si="14"/>
        <v>1.7528300493568787E-2</v>
      </c>
      <c r="F133" s="28">
        <f t="shared" ref="F133:F163" si="16">+EXP(A133*B$3-(B$3^2)/2)</f>
        <v>2.6333024646822789</v>
      </c>
    </row>
    <row r="134" spans="1:6">
      <c r="A134">
        <f t="shared" si="11"/>
        <v>2.549999999999994</v>
      </c>
      <c r="B134">
        <f t="shared" si="12"/>
        <v>2.9730978590523804</v>
      </c>
      <c r="C134">
        <f t="shared" si="15"/>
        <v>1.5449347134395421E-2</v>
      </c>
      <c r="D134">
        <f t="shared" si="13"/>
        <v>2.549999999999994</v>
      </c>
      <c r="E134">
        <f t="shared" si="14"/>
        <v>1.5449347134395407E-2</v>
      </c>
      <c r="F134" s="28">
        <f t="shared" si="16"/>
        <v>2.6896031138700986</v>
      </c>
    </row>
    <row r="135" spans="1:6">
      <c r="A135">
        <f t="shared" ref="A135:A163" si="17">+A134+0.05</f>
        <v>2.5999999999999939</v>
      </c>
      <c r="B135">
        <f t="shared" si="12"/>
        <v>3.0230978590523803</v>
      </c>
      <c r="C135">
        <f t="shared" si="15"/>
        <v>1.3582969233685847E-2</v>
      </c>
      <c r="D135">
        <f t="shared" si="13"/>
        <v>2.5999999999999939</v>
      </c>
      <c r="E135">
        <f t="shared" si="14"/>
        <v>1.3582969233685837E-2</v>
      </c>
      <c r="F135" s="28">
        <f t="shared" si="16"/>
        <v>2.7471074846742098</v>
      </c>
    </row>
    <row r="136" spans="1:6">
      <c r="A136">
        <f t="shared" si="17"/>
        <v>2.6499999999999937</v>
      </c>
      <c r="B136">
        <f t="shared" si="12"/>
        <v>3.0730978590523801</v>
      </c>
      <c r="C136">
        <f t="shared" si="15"/>
        <v>1.1912243607605389E-2</v>
      </c>
      <c r="D136">
        <f t="shared" si="13"/>
        <v>2.6499999999999937</v>
      </c>
      <c r="E136">
        <f t="shared" si="14"/>
        <v>1.1912243607605379E-2</v>
      </c>
      <c r="F136" s="28">
        <f t="shared" si="16"/>
        <v>2.8058413129564608</v>
      </c>
    </row>
    <row r="137" spans="1:6">
      <c r="A137">
        <f t="shared" si="17"/>
        <v>2.6999999999999935</v>
      </c>
      <c r="B137">
        <f t="shared" si="12"/>
        <v>3.1230978590523799</v>
      </c>
      <c r="C137">
        <f t="shared" si="15"/>
        <v>1.0420934814422789E-2</v>
      </c>
      <c r="D137">
        <f t="shared" si="13"/>
        <v>2.6999999999999935</v>
      </c>
      <c r="E137">
        <f t="shared" si="14"/>
        <v>1.0420934814422775E-2</v>
      </c>
      <c r="F137" s="28">
        <f t="shared" si="16"/>
        <v>2.865830884817707</v>
      </c>
    </row>
    <row r="138" spans="1:6">
      <c r="A138">
        <f t="shared" si="17"/>
        <v>2.7499999999999933</v>
      </c>
      <c r="B138">
        <f t="shared" si="12"/>
        <v>3.1730978590523797</v>
      </c>
      <c r="C138">
        <f t="shared" si="15"/>
        <v>9.0935625015912298E-3</v>
      </c>
      <c r="D138">
        <f t="shared" si="13"/>
        <v>2.7499999999999933</v>
      </c>
      <c r="E138">
        <f t="shared" si="14"/>
        <v>9.0935625015912177E-3</v>
      </c>
      <c r="F138" s="28">
        <f t="shared" si="16"/>
        <v>2.9271030483620524</v>
      </c>
    </row>
    <row r="139" spans="1:6">
      <c r="A139">
        <f t="shared" si="17"/>
        <v>2.7999999999999932</v>
      </c>
      <c r="B139">
        <f t="shared" si="12"/>
        <v>3.2230978590523796</v>
      </c>
      <c r="C139">
        <f t="shared" si="15"/>
        <v>7.9154515829801247E-3</v>
      </c>
      <c r="D139">
        <f t="shared" si="13"/>
        <v>2.7999999999999932</v>
      </c>
      <c r="E139">
        <f t="shared" si="14"/>
        <v>7.9154515829801143E-3</v>
      </c>
      <c r="F139" s="28">
        <f t="shared" si="16"/>
        <v>2.9896852257126185</v>
      </c>
    </row>
    <row r="140" spans="1:6">
      <c r="A140">
        <f t="shared" si="17"/>
        <v>2.849999999999993</v>
      </c>
      <c r="B140">
        <f t="shared" si="12"/>
        <v>3.2730978590523794</v>
      </c>
      <c r="C140">
        <f t="shared" si="15"/>
        <v>6.8727666906141169E-3</v>
      </c>
      <c r="D140">
        <f t="shared" si="13"/>
        <v>2.849999999999993</v>
      </c>
      <c r="E140">
        <f t="shared" si="14"/>
        <v>6.8727666906141108E-3</v>
      </c>
      <c r="F140" s="28">
        <f t="shared" si="16"/>
        <v>3.0536054252842098</v>
      </c>
    </row>
    <row r="141" spans="1:6">
      <c r="A141">
        <f t="shared" si="17"/>
        <v>2.8999999999999928</v>
      </c>
      <c r="B141">
        <f t="shared" si="12"/>
        <v>3.3230978590523792</v>
      </c>
      <c r="C141">
        <f t="shared" si="15"/>
        <v>5.9525324197759848E-3</v>
      </c>
      <c r="D141">
        <f t="shared" si="13"/>
        <v>2.8999999999999928</v>
      </c>
      <c r="E141">
        <f t="shared" si="14"/>
        <v>5.9525324197759796E-3</v>
      </c>
      <c r="F141" s="28">
        <f t="shared" si="16"/>
        <v>3.1188922543183719</v>
      </c>
    </row>
    <row r="142" spans="1:6">
      <c r="A142">
        <f t="shared" si="17"/>
        <v>2.9499999999999926</v>
      </c>
      <c r="B142">
        <f t="shared" si="12"/>
        <v>3.373097859052379</v>
      </c>
      <c r="C142">
        <f t="shared" si="15"/>
        <v>5.1426409230540572E-3</v>
      </c>
      <c r="D142">
        <f t="shared" si="13"/>
        <v>2.9499999999999926</v>
      </c>
      <c r="E142">
        <f t="shared" si="14"/>
        <v>5.1426409230540529E-3</v>
      </c>
      <c r="F142" s="28">
        <f t="shared" si="16"/>
        <v>3.1855749316864554</v>
      </c>
    </row>
    <row r="143" spans="1:6">
      <c r="A143">
        <f t="shared" si="17"/>
        <v>2.9999999999999925</v>
      </c>
      <c r="B143">
        <f t="shared" si="12"/>
        <v>3.4230978590523788</v>
      </c>
      <c r="C143">
        <f t="shared" si="15"/>
        <v>4.4318484119381133E-3</v>
      </c>
      <c r="D143">
        <f t="shared" si="13"/>
        <v>2.9999999999999925</v>
      </c>
      <c r="E143">
        <f t="shared" si="14"/>
        <v>4.431848411938109E-3</v>
      </c>
      <c r="F143" s="28">
        <f t="shared" si="16"/>
        <v>3.2536833009664092</v>
      </c>
    </row>
    <row r="144" spans="1:6">
      <c r="A144">
        <f t="shared" si="17"/>
        <v>3.0499999999999923</v>
      </c>
      <c r="B144">
        <f t="shared" si="12"/>
        <v>3.4730978590523787</v>
      </c>
      <c r="C144">
        <f t="shared" si="15"/>
        <v>3.8097620982219015E-3</v>
      </c>
      <c r="D144">
        <f t="shared" si="13"/>
        <v>3.0499999999999923</v>
      </c>
      <c r="E144">
        <f t="shared" si="14"/>
        <v>3.809762098221898E-3</v>
      </c>
      <c r="F144" s="28">
        <f t="shared" si="16"/>
        <v>3.3232478437991588</v>
      </c>
    </row>
    <row r="145" spans="1:6">
      <c r="A145">
        <f t="shared" si="17"/>
        <v>3.0999999999999921</v>
      </c>
      <c r="B145">
        <f t="shared" si="12"/>
        <v>3.5230978590523785</v>
      </c>
      <c r="C145">
        <f t="shared" si="15"/>
        <v>3.2668190562000054E-3</v>
      </c>
      <c r="D145">
        <f t="shared" si="13"/>
        <v>3.0999999999999921</v>
      </c>
      <c r="E145">
        <f t="shared" si="14"/>
        <v>3.2668190561999997E-3</v>
      </c>
      <c r="F145" s="28">
        <f t="shared" si="16"/>
        <v>3.3942996935305532</v>
      </c>
    </row>
    <row r="146" spans="1:6">
      <c r="A146">
        <f t="shared" si="17"/>
        <v>3.1499999999999919</v>
      </c>
      <c r="B146">
        <f t="shared" si="12"/>
        <v>3.5730978590523783</v>
      </c>
      <c r="C146">
        <f t="shared" si="15"/>
        <v>2.7942584148795213E-3</v>
      </c>
      <c r="D146">
        <f t="shared" si="13"/>
        <v>3.1499999999999919</v>
      </c>
      <c r="E146">
        <f t="shared" si="14"/>
        <v>2.7942584148795161E-3</v>
      </c>
      <c r="F146" s="28">
        <f t="shared" si="16"/>
        <v>3.4668706491449686</v>
      </c>
    </row>
    <row r="147" spans="1:6">
      <c r="A147">
        <f t="shared" si="17"/>
        <v>3.1999999999999917</v>
      </c>
      <c r="B147">
        <f t="shared" si="12"/>
        <v>3.6230978590523781</v>
      </c>
      <c r="C147">
        <f t="shared" si="15"/>
        <v>2.384088201464908E-3</v>
      </c>
      <c r="D147">
        <f t="shared" si="13"/>
        <v>3.1999999999999917</v>
      </c>
      <c r="E147">
        <f t="shared" si="14"/>
        <v>2.3840882014649059E-3</v>
      </c>
      <c r="F147" s="28">
        <f t="shared" si="16"/>
        <v>3.540993189496827</v>
      </c>
    </row>
    <row r="148" spans="1:6">
      <c r="A148">
        <f t="shared" si="17"/>
        <v>3.2499999999999916</v>
      </c>
      <c r="B148">
        <f t="shared" si="12"/>
        <v>3.673097859052378</v>
      </c>
      <c r="C148">
        <f t="shared" si="15"/>
        <v>2.0290480572998254E-3</v>
      </c>
      <c r="D148">
        <f t="shared" si="13"/>
        <v>3.2499999999999916</v>
      </c>
      <c r="E148">
        <f t="shared" si="14"/>
        <v>2.0290480572998236E-3</v>
      </c>
      <c r="F148" s="28">
        <f t="shared" si="16"/>
        <v>3.6167004878463822</v>
      </c>
    </row>
    <row r="149" spans="1:6">
      <c r="A149">
        <f t="shared" si="17"/>
        <v>3.2999999999999914</v>
      </c>
      <c r="B149">
        <f t="shared" si="12"/>
        <v>3.7230978590523778</v>
      </c>
      <c r="C149">
        <f t="shared" si="15"/>
        <v>1.7225689390537313E-3</v>
      </c>
      <c r="D149">
        <f t="shared" si="13"/>
        <v>3.2999999999999914</v>
      </c>
      <c r="E149">
        <f t="shared" si="14"/>
        <v>1.7225689390537287E-3</v>
      </c>
      <c r="F149" s="28">
        <f t="shared" si="16"/>
        <v>3.6940264267062854</v>
      </c>
    </row>
    <row r="150" spans="1:6">
      <c r="A150">
        <f t="shared" si="17"/>
        <v>3.3499999999999912</v>
      </c>
      <c r="B150">
        <f t="shared" si="12"/>
        <v>3.7730978590523776</v>
      </c>
      <c r="C150">
        <f t="shared" si="15"/>
        <v>1.458730804666791E-3</v>
      </c>
      <c r="D150">
        <f t="shared" si="13"/>
        <v>3.3499999999999912</v>
      </c>
      <c r="E150">
        <f t="shared" si="14"/>
        <v>1.4587308046667884E-3</v>
      </c>
      <c r="F150" s="28">
        <f t="shared" si="16"/>
        <v>3.7730056130055778</v>
      </c>
    </row>
    <row r="151" spans="1:6">
      <c r="A151">
        <f t="shared" si="17"/>
        <v>3.399999999999991</v>
      </c>
      <c r="B151">
        <f t="shared" si="12"/>
        <v>3.8230978590523774</v>
      </c>
      <c r="C151">
        <f t="shared" si="15"/>
        <v>1.2322191684730579E-3</v>
      </c>
      <c r="D151">
        <f t="shared" si="13"/>
        <v>3.399999999999991</v>
      </c>
      <c r="E151">
        <f t="shared" si="14"/>
        <v>1.232219168473057E-3</v>
      </c>
      <c r="F151" s="28">
        <f t="shared" si="16"/>
        <v>3.8536733935778837</v>
      </c>
    </row>
    <row r="152" spans="1:6">
      <c r="A152">
        <f t="shared" si="17"/>
        <v>3.4499999999999909</v>
      </c>
      <c r="B152">
        <f t="shared" si="12"/>
        <v>3.8730978590523772</v>
      </c>
      <c r="C152">
        <f t="shared" si="15"/>
        <v>1.0382812956614453E-3</v>
      </c>
      <c r="D152">
        <f t="shared" si="13"/>
        <v>3.4499999999999909</v>
      </c>
      <c r="E152">
        <f t="shared" si="14"/>
        <v>1.0382812956614435E-3</v>
      </c>
      <c r="F152" s="28">
        <f t="shared" si="16"/>
        <v>3.9360658709807566</v>
      </c>
    </row>
    <row r="153" spans="1:6">
      <c r="A153">
        <f t="shared" si="17"/>
        <v>3.4999999999999907</v>
      </c>
      <c r="B153">
        <f t="shared" si="12"/>
        <v>3.9230978590523771</v>
      </c>
      <c r="C153">
        <f t="shared" si="15"/>
        <v>8.7268269504578943E-4</v>
      </c>
      <c r="D153">
        <f t="shared" si="13"/>
        <v>3.4999999999999907</v>
      </c>
      <c r="E153">
        <f t="shared" si="14"/>
        <v>8.7268269504578867E-4</v>
      </c>
      <c r="F153" s="28">
        <f t="shared" si="16"/>
        <v>4.020219919653238</v>
      </c>
    </row>
    <row r="154" spans="1:6">
      <c r="A154">
        <f t="shared" si="17"/>
        <v>3.5499999999999905</v>
      </c>
      <c r="B154">
        <f t="shared" si="12"/>
        <v>3.9730978590523769</v>
      </c>
      <c r="C154">
        <f t="shared" si="15"/>
        <v>7.3166446283033616E-4</v>
      </c>
      <c r="D154">
        <f t="shared" si="13"/>
        <v>3.5499999999999905</v>
      </c>
      <c r="E154">
        <f t="shared" si="14"/>
        <v>7.3166446283033551E-4</v>
      </c>
      <c r="F154" s="28">
        <f t="shared" si="16"/>
        <v>4.1061732024188746</v>
      </c>
    </row>
    <row r="155" spans="1:6">
      <c r="A155">
        <f t="shared" si="17"/>
        <v>3.5999999999999903</v>
      </c>
      <c r="B155">
        <f t="shared" si="12"/>
        <v>4.0230978590523767</v>
      </c>
      <c r="C155">
        <f t="shared" si="15"/>
        <v>6.1190193011379467E-4</v>
      </c>
      <c r="D155">
        <f t="shared" si="13"/>
        <v>3.5999999999999903</v>
      </c>
      <c r="E155">
        <f t="shared" si="14"/>
        <v>6.1190193011379358E-4</v>
      </c>
      <c r="F155" s="28">
        <f t="shared" si="16"/>
        <v>4.1939641873415665</v>
      </c>
    </row>
    <row r="156" spans="1:6">
      <c r="A156">
        <f t="shared" si="17"/>
        <v>3.6499999999999901</v>
      </c>
      <c r="B156">
        <f t="shared" si="12"/>
        <v>4.0730978590523765</v>
      </c>
      <c r="C156">
        <f t="shared" si="15"/>
        <v>5.1046497434420457E-4</v>
      </c>
      <c r="D156">
        <f t="shared" si="13"/>
        <v>3.6499999999999901</v>
      </c>
      <c r="E156">
        <f t="shared" si="14"/>
        <v>5.104649743442037E-4</v>
      </c>
      <c r="F156" s="28">
        <f t="shared" si="16"/>
        <v>4.2836321649418103</v>
      </c>
    </row>
    <row r="157" spans="1:6">
      <c r="A157">
        <f t="shared" si="17"/>
        <v>3.69999999999999</v>
      </c>
      <c r="B157">
        <f t="shared" si="12"/>
        <v>4.1230978590523764</v>
      </c>
      <c r="C157">
        <f t="shared" si="15"/>
        <v>4.2478027055076797E-4</v>
      </c>
      <c r="D157">
        <f t="shared" si="13"/>
        <v>3.69999999999999</v>
      </c>
      <c r="E157">
        <f t="shared" si="14"/>
        <v>4.2478027055076764E-4</v>
      </c>
      <c r="F157" s="28">
        <f t="shared" si="16"/>
        <v>4.3752172657810142</v>
      </c>
    </row>
    <row r="158" spans="1:6">
      <c r="A158">
        <f t="shared" si="17"/>
        <v>3.7499999999999898</v>
      </c>
      <c r="B158">
        <f t="shared" si="12"/>
        <v>4.1730978590523762</v>
      </c>
      <c r="C158">
        <f t="shared" si="15"/>
        <v>3.525956823674595E-4</v>
      </c>
      <c r="D158">
        <f t="shared" si="13"/>
        <v>3.7499999999999898</v>
      </c>
      <c r="E158">
        <f t="shared" si="14"/>
        <v>3.5259568236745885E-4</v>
      </c>
      <c r="F158" s="28">
        <f t="shared" si="16"/>
        <v>4.4687604784217818</v>
      </c>
    </row>
    <row r="159" spans="1:6">
      <c r="A159">
        <f t="shared" si="17"/>
        <v>3.7999999999999896</v>
      </c>
      <c r="B159">
        <f t="shared" si="12"/>
        <v>4.223097859052376</v>
      </c>
      <c r="C159">
        <f t="shared" si="15"/>
        <v>2.9194692579147214E-4</v>
      </c>
      <c r="D159">
        <f t="shared" si="13"/>
        <v>3.7999999999999896</v>
      </c>
      <c r="E159">
        <f t="shared" si="14"/>
        <v>2.919469257914716E-4</v>
      </c>
      <c r="F159" s="28">
        <f t="shared" si="16"/>
        <v>4.5643036677721831</v>
      </c>
    </row>
    <row r="160" spans="1:6">
      <c r="A160">
        <f t="shared" si="17"/>
        <v>3.8499999999999894</v>
      </c>
      <c r="B160">
        <f t="shared" si="12"/>
        <v>4.2730978590523758</v>
      </c>
      <c r="C160">
        <f t="shared" si="15"/>
        <v>2.4112658022600373E-4</v>
      </c>
      <c r="D160">
        <f t="shared" si="13"/>
        <v>3.8499999999999894</v>
      </c>
      <c r="E160">
        <f t="shared" si="14"/>
        <v>2.4112658022600329E-4</v>
      </c>
      <c r="F160" s="28">
        <f t="shared" si="16"/>
        <v>4.6618895938222407</v>
      </c>
    </row>
    <row r="161" spans="1:6">
      <c r="A161">
        <f t="shared" si="17"/>
        <v>3.8999999999999893</v>
      </c>
      <c r="B161">
        <f t="shared" si="12"/>
        <v>4.3230978590523756</v>
      </c>
      <c r="C161">
        <f t="shared" si="15"/>
        <v>1.9865547139278134E-4</v>
      </c>
      <c r="D161">
        <f t="shared" si="13"/>
        <v>3.8999999999999893</v>
      </c>
      <c r="E161">
        <f t="shared" si="14"/>
        <v>1.9865547139278098E-4</v>
      </c>
      <c r="F161" s="28">
        <f t="shared" si="16"/>
        <v>4.7615619307809967</v>
      </c>
    </row>
    <row r="162" spans="1:6">
      <c r="A162">
        <f t="shared" si="17"/>
        <v>3.9499999999999891</v>
      </c>
      <c r="B162">
        <f t="shared" si="12"/>
        <v>4.3730978590523755</v>
      </c>
      <c r="C162">
        <f t="shared" si="15"/>
        <v>1.6325640876624939E-4</v>
      </c>
      <c r="D162">
        <f t="shared" si="13"/>
        <v>3.9499999999999891</v>
      </c>
      <c r="E162">
        <f t="shared" si="14"/>
        <v>1.6325640876624909E-4</v>
      </c>
      <c r="F162" s="28">
        <f t="shared" si="16"/>
        <v>4.8633652866227361</v>
      </c>
    </row>
    <row r="163" spans="1:6">
      <c r="A163">
        <f t="shared" si="17"/>
        <v>3.9999999999999889</v>
      </c>
      <c r="B163">
        <f t="shared" si="12"/>
        <v>4.4230978590523753</v>
      </c>
      <c r="C163">
        <f t="shared" si="15"/>
        <v>1.3383022576489152E-4</v>
      </c>
      <c r="D163">
        <f t="shared" si="13"/>
        <v>3.9999999999999889</v>
      </c>
      <c r="E163">
        <f t="shared" si="14"/>
        <v>1.338302257648913E-4</v>
      </c>
      <c r="F163" s="28">
        <f t="shared" si="16"/>
        <v>4.9673452230511197</v>
      </c>
    </row>
  </sheetData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472"/>
  <sheetViews>
    <sheetView topLeftCell="E1" workbookViewId="0">
      <selection activeCell="H9" sqref="H9:J9"/>
    </sheetView>
  </sheetViews>
  <sheetFormatPr defaultRowHeight="12.75"/>
  <cols>
    <col min="1" max="1" width="12.42578125" bestFit="1" customWidth="1"/>
    <col min="6" max="7" width="12.42578125" bestFit="1" customWidth="1"/>
  </cols>
  <sheetData>
    <row r="1" spans="1:25">
      <c r="B1" t="s">
        <v>36</v>
      </c>
      <c r="D1" t="s">
        <v>37</v>
      </c>
      <c r="H1" t="s">
        <v>38</v>
      </c>
    </row>
    <row r="2" spans="1:25">
      <c r="B2" t="s">
        <v>9</v>
      </c>
      <c r="C2" t="s">
        <v>35</v>
      </c>
      <c r="D2" t="s">
        <v>9</v>
      </c>
      <c r="E2" t="s">
        <v>35</v>
      </c>
      <c r="F2" t="s">
        <v>58</v>
      </c>
      <c r="H2" t="s">
        <v>38</v>
      </c>
    </row>
    <row r="3" spans="1:25">
      <c r="B3" s="44">
        <f>+IF('Specified Odds Ratio'!Q60 &gt; 0, 'Specified Odds Ratio'!Q60,"")</f>
        <v>0.61696028114932933</v>
      </c>
      <c r="C3">
        <v>1</v>
      </c>
      <c r="D3">
        <f>+IF('Specified Odds Ratio'!Q60 &gt; 0, 0,"")</f>
        <v>0</v>
      </c>
      <c r="E3">
        <v>1</v>
      </c>
      <c r="H3" t="s">
        <v>8</v>
      </c>
      <c r="R3" s="4"/>
      <c r="S3" s="4"/>
      <c r="T3" s="4"/>
      <c r="U3" s="4"/>
      <c r="V3" s="4"/>
      <c r="W3" s="4"/>
      <c r="X3" s="4"/>
    </row>
    <row r="4" spans="1:25">
      <c r="A4">
        <v>-4</v>
      </c>
      <c r="B4">
        <f t="shared" ref="B4:B35" si="0">+(A4+B$3)/C$3</f>
        <v>-3.3830397188506707</v>
      </c>
      <c r="C4">
        <f>NORMDIST(B4,B$3,C$3,FALSE)</f>
        <v>1.3383022576488534E-4</v>
      </c>
      <c r="D4">
        <f t="shared" ref="D4:D35" si="1">+(A4+D$3)/E$3</f>
        <v>-4</v>
      </c>
      <c r="E4">
        <f t="shared" ref="E4:E35" si="2">NORMDIST(D4,D$3,E$3,FALSE)</f>
        <v>1.3383022576488534E-4</v>
      </c>
      <c r="F4" s="28">
        <f>+EXP(A4*B$3-(B$3^2)/2)</f>
        <v>7.0076966547646918E-2</v>
      </c>
      <c r="H4" s="45" t="str">
        <f>+IF('Specified Odds Ratio'!I101 &gt; 0,IF('Specified Odds Ratio'!Q60 &gt; 0,CONCATENATE(H5,"=",I5*100,"%"),""),"")</f>
        <v>FPR=10%</v>
      </c>
      <c r="J4">
        <f>+IF('Specified Odds Ratio'!I101 &gt; 0,IF(LOWER(H$5)="fpr",+NORMINV(1-I$5,D$3,E$3),NORMINV(1-I$5,B$3,C$3)),"")</f>
        <v>1.2815515655446004</v>
      </c>
      <c r="K4">
        <v>0</v>
      </c>
      <c r="S4" s="4"/>
      <c r="T4" s="4"/>
      <c r="U4" s="19" t="s">
        <v>22</v>
      </c>
      <c r="V4" s="4"/>
      <c r="X4" t="s">
        <v>23</v>
      </c>
    </row>
    <row r="5" spans="1:25">
      <c r="A5">
        <f>+A4+0.1</f>
        <v>-3.9</v>
      </c>
      <c r="B5">
        <f t="shared" si="0"/>
        <v>-3.2830397188506706</v>
      </c>
      <c r="C5">
        <f t="shared" ref="C5:C35" si="3">NORMDIST(B5,B$3,C$3,FALSE)</f>
        <v>1.9865547139277269E-4</v>
      </c>
      <c r="D5">
        <f t="shared" si="1"/>
        <v>-3.9</v>
      </c>
      <c r="E5">
        <f t="shared" si="2"/>
        <v>1.9865547139277269E-4</v>
      </c>
      <c r="F5" s="28">
        <f t="shared" ref="F5:F68" si="4">+EXP(A5*B$3-(B$3^2)/2)</f>
        <v>7.4536593166832185E-2</v>
      </c>
      <c r="H5" t="str">
        <f>+IF('Specified Odds Ratio'!I101 &gt; 0,IF('Specified Odds Ratio'!Q60 &gt; 0,UPPER('Specified Odds Ratio'!G99),""),"")</f>
        <v>FPR</v>
      </c>
      <c r="I5" s="43">
        <f>+IF('Specified Odds Ratio'!Q60 &gt; 0,'Specified Odds Ratio'!I101,"")</f>
        <v>0.1</v>
      </c>
      <c r="J5">
        <f>+IF('Specified Odds Ratio'!I101 &gt; 0,IF(LOWER(H$5)="fpr",+NORMINV(1-I$5,D$3,E$3),NORMINV(1-I$5,B$3,C$3)),"")</f>
        <v>1.2815515655446004</v>
      </c>
      <c r="K5">
        <f>+IF('Specified Odds Ratio'!I101 &gt; 0,+MAX(E4:E163)*1.2,0)</f>
        <v>0.47873073648171915</v>
      </c>
      <c r="O5" s="44">
        <f>+'Specified Odds Ratio'!Q60</f>
        <v>0.61696028114932933</v>
      </c>
      <c r="S5" s="4"/>
      <c r="T5" s="4"/>
      <c r="V5" s="4"/>
      <c r="W5" s="4"/>
      <c r="X5" s="5"/>
    </row>
    <row r="6" spans="1:25" ht="38.25">
      <c r="A6">
        <f>+A5+0.05</f>
        <v>-3.85</v>
      </c>
      <c r="B6">
        <f t="shared" si="0"/>
        <v>-3.2330397188506708</v>
      </c>
      <c r="C6">
        <f t="shared" si="3"/>
        <v>2.4112658022599321E-4</v>
      </c>
      <c r="D6">
        <f t="shared" si="1"/>
        <v>-3.85</v>
      </c>
      <c r="E6">
        <f t="shared" si="2"/>
        <v>2.4112658022599321E-4</v>
      </c>
      <c r="F6" s="28">
        <f t="shared" si="4"/>
        <v>7.6871731050273812E-2</v>
      </c>
      <c r="S6" s="4"/>
      <c r="T6" s="4"/>
      <c r="U6" s="1" t="s">
        <v>13</v>
      </c>
      <c r="V6" s="22" t="s">
        <v>21</v>
      </c>
      <c r="W6" s="4" t="s">
        <v>57</v>
      </c>
      <c r="X6" s="22" t="s">
        <v>13</v>
      </c>
      <c r="Y6" s="22" t="s">
        <v>11</v>
      </c>
    </row>
    <row r="7" spans="1:25">
      <c r="A7">
        <f t="shared" ref="A7:A70" si="5">+A6+0.05</f>
        <v>-3.8000000000000003</v>
      </c>
      <c r="B7">
        <f t="shared" si="0"/>
        <v>-3.1830397188506709</v>
      </c>
      <c r="C7">
        <f t="shared" si="3"/>
        <v>2.9194692579146E-4</v>
      </c>
      <c r="D7">
        <f t="shared" si="1"/>
        <v>-3.8000000000000003</v>
      </c>
      <c r="E7">
        <f t="shared" si="2"/>
        <v>2.9194692579146E-4</v>
      </c>
      <c r="F7" s="28">
        <f t="shared" si="4"/>
        <v>7.9280025871844836E-2</v>
      </c>
      <c r="H7" t="str">
        <f>+IF('Specified Odds Ratio'!Q60 &gt; 0, "Unaffected","")</f>
        <v>Unaffected</v>
      </c>
      <c r="I7">
        <f>+D4</f>
        <v>-4</v>
      </c>
      <c r="J7">
        <f>+MAX(E4:E163)/2</f>
        <v>0.19947114020071632</v>
      </c>
      <c r="R7">
        <f>IF('Specified Odds Ratio'!Q60&gt;0,IF(UPPER('Specified Odds Ratio'!G99)="DR",'Specified Odds Ratio'!I101,'Specified Odds Ratio'!V26),"0")</f>
        <v>0.25315597265277245</v>
      </c>
      <c r="S7" s="4">
        <f>+R7</f>
        <v>0.25315597265277245</v>
      </c>
      <c r="T7" s="4"/>
      <c r="U7" s="4"/>
      <c r="V7" s="4"/>
      <c r="W7" s="4"/>
      <c r="X7" s="4"/>
      <c r="Y7" s="4"/>
    </row>
    <row r="8" spans="1:25">
      <c r="A8">
        <f t="shared" si="5"/>
        <v>-3.7500000000000004</v>
      </c>
      <c r="B8">
        <f t="shared" si="0"/>
        <v>-3.1330397188506711</v>
      </c>
      <c r="C8">
        <f t="shared" si="3"/>
        <v>3.525956823674447E-4</v>
      </c>
      <c r="D8">
        <f t="shared" si="1"/>
        <v>-3.7500000000000004</v>
      </c>
      <c r="E8">
        <f t="shared" si="2"/>
        <v>3.525956823674447E-4</v>
      </c>
      <c r="F8" s="28">
        <f t="shared" si="4"/>
        <v>8.1763769546568596E-2</v>
      </c>
      <c r="H8" t="str">
        <f>+IF('Specified Odds Ratio'!Q60 &gt; 0,"Affected","")</f>
        <v>Affected</v>
      </c>
      <c r="I8">
        <f>+B163</f>
        <v>4.6169602811493178</v>
      </c>
      <c r="J8">
        <f>+MAX(C4:C163)/2</f>
        <v>0.19947114020071632</v>
      </c>
      <c r="R8">
        <f>IF('Specified Odds Ratio'!Q60&gt;0,IF(UPPER('Specified Odds Ratio'!G99)="DR",'Specified Odds Ratio'!W26,'Specified Odds Ratio'!I101),"0")</f>
        <v>0.1</v>
      </c>
      <c r="S8" s="4">
        <f>+R8</f>
        <v>0.1</v>
      </c>
      <c r="T8" s="4"/>
      <c r="U8" s="11">
        <f>+IF('Specified Odds Ratio'!$Q$60 &gt; 0, 'Specified Odds Ratio'!T4,"")</f>
        <v>0.01</v>
      </c>
      <c r="V8" s="11">
        <f>+'Specified Odds Ratio'!V4</f>
        <v>4.368958880944529E-2</v>
      </c>
      <c r="W8" s="4"/>
      <c r="X8" s="11">
        <f>+'Specified Odds Ratio'!W4</f>
        <v>1.6236250679071418E-3</v>
      </c>
      <c r="Y8" s="11">
        <f>IF('Specified Odds Ratio'!$Q$60 &gt; 0,'Specified Odds Ratio'!Y4,"")</f>
        <v>0.01</v>
      </c>
    </row>
    <row r="9" spans="1:25">
      <c r="A9">
        <f t="shared" si="5"/>
        <v>-3.7000000000000006</v>
      </c>
      <c r="B9">
        <f t="shared" si="0"/>
        <v>-3.0830397188506713</v>
      </c>
      <c r="C9">
        <f t="shared" si="3"/>
        <v>4.2478027055075062E-4</v>
      </c>
      <c r="D9">
        <f t="shared" si="1"/>
        <v>-3.7000000000000006</v>
      </c>
      <c r="E9">
        <f t="shared" si="2"/>
        <v>4.2478027055075062E-4</v>
      </c>
      <c r="F9" s="28">
        <f t="shared" si="4"/>
        <v>8.4325325792288505E-2</v>
      </c>
      <c r="S9" s="4"/>
      <c r="T9" s="4"/>
      <c r="U9" s="11">
        <f>+IF('Specified Odds Ratio'!$Q$60 &gt; 0, 'Specified Odds Ratio'!T5,"")</f>
        <v>0.05</v>
      </c>
      <c r="V9" s="11">
        <f>+'Specified Odds Ratio'!V5</f>
        <v>0.15200000000000002</v>
      </c>
      <c r="W9" s="4"/>
      <c r="X9" s="11">
        <f>+'Specified Odds Ratio'!W5</f>
        <v>1.1854451595216031E-2</v>
      </c>
      <c r="Y9" s="11">
        <f>IF('Specified Odds Ratio'!$Q$60 &gt; 0,'Specified Odds Ratio'!Y5,"")</f>
        <v>0.05</v>
      </c>
    </row>
    <row r="10" spans="1:25">
      <c r="A10">
        <f t="shared" si="5"/>
        <v>-3.6500000000000008</v>
      </c>
      <c r="B10">
        <f t="shared" si="0"/>
        <v>-3.0330397188506715</v>
      </c>
      <c r="C10">
        <f t="shared" si="3"/>
        <v>5.1046497434418408E-4</v>
      </c>
      <c r="D10">
        <f t="shared" si="1"/>
        <v>-3.6500000000000008</v>
      </c>
      <c r="E10">
        <f t="shared" si="2"/>
        <v>5.1046497434418408E-4</v>
      </c>
      <c r="F10" s="28">
        <f t="shared" si="4"/>
        <v>8.69671323791604E-2</v>
      </c>
      <c r="R10" s="4" t="str">
        <f>+CONCATENATE(" OR  = ",'Specified Odds Ratio'!N87)</f>
        <v xml:space="preserve"> OR  = 9.5</v>
      </c>
      <c r="S10" s="12">
        <v>0.5</v>
      </c>
      <c r="T10" s="11">
        <v>0.35</v>
      </c>
      <c r="U10" s="11">
        <f>+IF('Specified Odds Ratio'!$Q$60 &gt; 0, 'Specified Odds Ratio'!T6,"")</f>
        <v>0.1</v>
      </c>
      <c r="V10" s="11">
        <f>+'Specified Odds Ratio'!V6</f>
        <v>0.25315597265277245</v>
      </c>
      <c r="W10" s="4"/>
      <c r="X10" s="11">
        <f>+'Specified Odds Ratio'!W6</f>
        <v>2.8814344348933041E-2</v>
      </c>
      <c r="Y10" s="11">
        <f>IF('Specified Odds Ratio'!$Q$60 &gt; 0,'Specified Odds Ratio'!Y6,"")</f>
        <v>0.1</v>
      </c>
    </row>
    <row r="11" spans="1:25">
      <c r="A11">
        <f t="shared" si="5"/>
        <v>-3.600000000000001</v>
      </c>
      <c r="B11">
        <f t="shared" si="0"/>
        <v>-2.9830397188506717</v>
      </c>
      <c r="C11">
        <f t="shared" si="3"/>
        <v>6.1190193011377016E-4</v>
      </c>
      <c r="D11">
        <f t="shared" si="1"/>
        <v>-3.600000000000001</v>
      </c>
      <c r="E11">
        <f t="shared" si="2"/>
        <v>6.1190193011377016E-4</v>
      </c>
      <c r="F11" s="28">
        <f t="shared" si="4"/>
        <v>8.9691703449618548E-2</v>
      </c>
      <c r="R11" s="4" t="str">
        <f>+CONCATENATE(" Comparing lowest ",'Specified Odds Ratio'!N85*100, "%  with highest ", 'Specified Odds Ratio'!N86*100,"%")</f>
        <v xml:space="preserve"> Comparing lowest 20%  with highest 3%</v>
      </c>
      <c r="S11" s="12">
        <f>+S10</f>
        <v>0.5</v>
      </c>
      <c r="T11" s="11">
        <v>0.2</v>
      </c>
      <c r="U11" s="11">
        <f>+IF('Specified Odds Ratio'!$Q$60 &gt; 0, 'Specified Odds Ratio'!T7,"")</f>
        <v>0.15000000000000002</v>
      </c>
      <c r="V11" s="11">
        <f>+'Specified Odds Ratio'!V7</f>
        <v>0.33743520198968813</v>
      </c>
      <c r="W11" s="4"/>
      <c r="X11" s="11">
        <f>+'Specified Odds Ratio'!W7</f>
        <v>4.9125385086375539E-2</v>
      </c>
      <c r="Y11" s="11">
        <f>IF('Specified Odds Ratio'!$Q$60 &gt; 0,'Specified Odds Ratio'!Y7,"")</f>
        <v>0.15000000000000002</v>
      </c>
    </row>
    <row r="12" spans="1:25">
      <c r="A12">
        <f t="shared" si="5"/>
        <v>-3.5500000000000012</v>
      </c>
      <c r="B12">
        <f t="shared" si="0"/>
        <v>-2.9330397188506718</v>
      </c>
      <c r="C12">
        <f t="shared" si="3"/>
        <v>7.3166446283030753E-4</v>
      </c>
      <c r="D12">
        <f t="shared" si="1"/>
        <v>-3.5500000000000012</v>
      </c>
      <c r="E12">
        <f t="shared" si="2"/>
        <v>7.3166446283030753E-4</v>
      </c>
      <c r="F12" s="28">
        <f t="shared" si="4"/>
        <v>9.2501631911023105E-2</v>
      </c>
      <c r="S12" s="4"/>
      <c r="T12" s="4"/>
      <c r="U12" s="11">
        <f>+IF('Specified Odds Ratio'!$Q$60 &gt; 0, 'Specified Odds Ratio'!T8,"")</f>
        <v>0.2</v>
      </c>
      <c r="V12" s="11">
        <f>+'Specified Odds Ratio'!V8</f>
        <v>0.4111215217621158</v>
      </c>
      <c r="W12" s="4"/>
      <c r="X12" s="11">
        <f>+'Specified Odds Ratio'!W8</f>
        <v>7.2340162219722393E-2</v>
      </c>
      <c r="Y12" s="11">
        <f>IF('Specified Odds Ratio'!$Q$60 &gt; 0,'Specified Odds Ratio'!Y8,"")</f>
        <v>0.2</v>
      </c>
    </row>
    <row r="13" spans="1:25">
      <c r="A13">
        <f t="shared" si="5"/>
        <v>-3.5000000000000013</v>
      </c>
      <c r="B13">
        <f t="shared" si="0"/>
        <v>-2.883039718850672</v>
      </c>
      <c r="C13">
        <f t="shared" si="3"/>
        <v>8.7268269504575614E-4</v>
      </c>
      <c r="D13">
        <f t="shared" si="1"/>
        <v>-3.5000000000000013</v>
      </c>
      <c r="E13">
        <f t="shared" si="2"/>
        <v>8.7268269504575614E-4</v>
      </c>
      <c r="F13" s="28">
        <f t="shared" si="4"/>
        <v>9.5399591903266509E-2</v>
      </c>
      <c r="S13" s="4"/>
      <c r="T13" s="4"/>
      <c r="U13" s="11">
        <f>+IF('Specified Odds Ratio'!$Q$60 &gt; 0, 'Specified Odds Ratio'!T9,"")</f>
        <v>0.25</v>
      </c>
      <c r="V13" s="11">
        <f>+'Specified Odds Ratio'!V9</f>
        <v>0.47706171603516889</v>
      </c>
      <c r="W13" s="4"/>
      <c r="X13" s="11">
        <f>+'Specified Odds Ratio'!W9</f>
        <v>9.8273835725660286E-2</v>
      </c>
      <c r="Y13" s="11">
        <f>IF('Specified Odds Ratio'!$Q$60 &gt; 0,'Specified Odds Ratio'!Y9,"")</f>
        <v>0.25</v>
      </c>
    </row>
    <row r="14" spans="1:25">
      <c r="A14">
        <f t="shared" si="5"/>
        <v>-3.4500000000000015</v>
      </c>
      <c r="B14">
        <f t="shared" si="0"/>
        <v>-2.8330397188506722</v>
      </c>
      <c r="C14">
        <f t="shared" si="3"/>
        <v>1.0382812956614056E-3</v>
      </c>
      <c r="D14">
        <f t="shared" si="1"/>
        <v>-3.4500000000000015</v>
      </c>
      <c r="E14">
        <f t="shared" si="2"/>
        <v>1.0382812956614056E-3</v>
      </c>
      <c r="F14" s="28">
        <f t="shared" si="4"/>
        <v>9.8388341343686583E-2</v>
      </c>
      <c r="R14">
        <v>0</v>
      </c>
      <c r="S14" s="4">
        <v>1</v>
      </c>
      <c r="T14" s="4"/>
      <c r="U14" s="11">
        <f>+IF('Specified Odds Ratio'!$Q$60 &gt; 0, 'Specified Odds Ratio'!T10,"")</f>
        <v>0.3</v>
      </c>
      <c r="V14" s="11">
        <f>+'Specified Odds Ratio'!V10</f>
        <v>0.5368733466911676</v>
      </c>
      <c r="W14" s="4"/>
      <c r="X14" s="11">
        <f>+'Specified Odds Ratio'!W10</f>
        <v>0.1268599064449214</v>
      </c>
      <c r="Y14" s="11">
        <f>IF('Specified Odds Ratio'!$Q$60 &gt; 0,'Specified Odds Ratio'!Y10,"")</f>
        <v>0.3</v>
      </c>
    </row>
    <row r="15" spans="1:25">
      <c r="A15">
        <f t="shared" si="5"/>
        <v>-3.4000000000000017</v>
      </c>
      <c r="B15">
        <f t="shared" si="0"/>
        <v>-2.7830397188506724</v>
      </c>
      <c r="C15">
        <f t="shared" si="3"/>
        <v>1.2322191684730119E-3</v>
      </c>
      <c r="D15">
        <f t="shared" si="1"/>
        <v>-3.4000000000000017</v>
      </c>
      <c r="E15">
        <f t="shared" si="2"/>
        <v>1.2322191684730119E-3</v>
      </c>
      <c r="F15" s="28">
        <f t="shared" si="4"/>
        <v>0.10147072455170879</v>
      </c>
      <c r="R15">
        <v>0</v>
      </c>
      <c r="S15" s="4">
        <v>1</v>
      </c>
      <c r="T15" s="4"/>
      <c r="U15" s="11">
        <f>+IF('Specified Odds Ratio'!$Q$60 &gt; 0, 'Specified Odds Ratio'!T11,"")</f>
        <v>0.35</v>
      </c>
      <c r="V15" s="11">
        <f>+'Specified Odds Ratio'!V11</f>
        <v>0.59159110962715689</v>
      </c>
      <c r="W15" s="4"/>
      <c r="X15" s="11">
        <f>+'Specified Odds Ratio'!W11</f>
        <v>0.15810400913492106</v>
      </c>
      <c r="Y15" s="11">
        <f>IF('Specified Odds Ratio'!$Q$60 &gt; 0,'Specified Odds Ratio'!Y11,"")</f>
        <v>0.35</v>
      </c>
    </row>
    <row r="16" spans="1:25">
      <c r="A16">
        <f t="shared" si="5"/>
        <v>-3.3500000000000019</v>
      </c>
      <c r="B16">
        <f t="shared" si="0"/>
        <v>-2.7330397188506725</v>
      </c>
      <c r="C16">
        <f t="shared" si="3"/>
        <v>1.4587308046667368E-3</v>
      </c>
      <c r="D16">
        <f t="shared" si="1"/>
        <v>-3.3500000000000019</v>
      </c>
      <c r="E16">
        <f t="shared" si="2"/>
        <v>1.4587308046667368E-3</v>
      </c>
      <c r="F16" s="28">
        <f t="shared" si="4"/>
        <v>0.10464967495571524</v>
      </c>
      <c r="R16" t="s">
        <v>27</v>
      </c>
      <c r="S16" s="4">
        <v>0.8</v>
      </c>
      <c r="T16" s="4">
        <v>0.9</v>
      </c>
      <c r="U16" s="11">
        <f>+IF('Specified Odds Ratio'!$Q$60 &gt; 0, 'Specified Odds Ratio'!T12,"")</f>
        <v>0.39999999999999997</v>
      </c>
      <c r="V16" s="11">
        <f>+'Specified Odds Ratio'!V12</f>
        <v>0.64192655758423522</v>
      </c>
      <c r="W16" s="4"/>
      <c r="X16" s="11">
        <f>+'Specified Odds Ratio'!W12</f>
        <v>0.19206622229059256</v>
      </c>
      <c r="Y16" s="11">
        <f>IF('Specified Odds Ratio'!$Q$60 &gt; 0,'Specified Odds Ratio'!Y12,"")</f>
        <v>0.39999999999999997</v>
      </c>
    </row>
    <row r="17" spans="1:25">
      <c r="A17">
        <f t="shared" si="5"/>
        <v>-3.300000000000002</v>
      </c>
      <c r="B17">
        <f t="shared" si="0"/>
        <v>-2.6830397188506727</v>
      </c>
      <c r="C17">
        <f t="shared" si="3"/>
        <v>1.7225689390536689E-3</v>
      </c>
      <c r="D17">
        <f t="shared" si="1"/>
        <v>-3.300000000000002</v>
      </c>
      <c r="E17">
        <f t="shared" si="2"/>
        <v>1.7225689390536689E-3</v>
      </c>
      <c r="F17" s="28">
        <f t="shared" si="4"/>
        <v>0.10792821788471625</v>
      </c>
      <c r="R17" s="38"/>
      <c r="S17" s="4"/>
      <c r="T17" s="4"/>
      <c r="U17" s="11">
        <f>+IF('Specified Odds Ratio'!$Q$60 &gt; 0, 'Specified Odds Ratio'!T13,"")</f>
        <v>0.44999999999999996</v>
      </c>
      <c r="V17" s="11">
        <f>+'Specified Odds Ratio'!V13</f>
        <v>0.68839248325030789</v>
      </c>
      <c r="W17" s="4"/>
      <c r="X17" s="11">
        <f>+'Specified Odds Ratio'!W13</f>
        <v>0.22885539524785914</v>
      </c>
      <c r="Y17" s="11">
        <f>IF('Specified Odds Ratio'!$Q$60 &gt; 0,'Specified Odds Ratio'!Y13,"")</f>
        <v>0.44999999999999996</v>
      </c>
    </row>
    <row r="18" spans="1:25">
      <c r="A18">
        <f t="shared" si="5"/>
        <v>-3.2500000000000022</v>
      </c>
      <c r="B18">
        <f t="shared" si="0"/>
        <v>-2.6330397188506729</v>
      </c>
      <c r="C18">
        <f t="shared" si="3"/>
        <v>2.0290480572997534E-3</v>
      </c>
      <c r="D18">
        <f t="shared" si="1"/>
        <v>-3.2500000000000022</v>
      </c>
      <c r="E18">
        <f t="shared" si="2"/>
        <v>2.0290480572997534E-3</v>
      </c>
      <c r="F18" s="28">
        <f t="shared" si="4"/>
        <v>0.11130947344748174</v>
      </c>
      <c r="R18" s="38"/>
      <c r="S18" s="4"/>
      <c r="T18" s="4"/>
      <c r="U18" s="11">
        <f>+IF('Specified Odds Ratio'!$Q$60 &gt; 0, 'Specified Odds Ratio'!T14,"")</f>
        <v>0.49999999999999994</v>
      </c>
      <c r="V18" s="11">
        <f>+'Specified Odds Ratio'!V14</f>
        <v>0.73136953788724635</v>
      </c>
      <c r="W18" s="4"/>
      <c r="X18" s="11">
        <f>+'Specified Odds Ratio'!W14</f>
        <v>0.26863046211275365</v>
      </c>
      <c r="Y18" s="11">
        <f>IF('Specified Odds Ratio'!$Q$60 &gt; 0,'Specified Odds Ratio'!Y14,"")</f>
        <v>0.49999999999999994</v>
      </c>
    </row>
    <row r="19" spans="1:25">
      <c r="A19">
        <f t="shared" si="5"/>
        <v>-3.2000000000000024</v>
      </c>
      <c r="B19">
        <f t="shared" si="0"/>
        <v>-2.5830397188506731</v>
      </c>
      <c r="C19">
        <f t="shared" si="3"/>
        <v>2.384088201464823E-3</v>
      </c>
      <c r="D19">
        <f t="shared" si="1"/>
        <v>-3.2000000000000024</v>
      </c>
      <c r="E19">
        <f t="shared" si="2"/>
        <v>2.384088201464823E-3</v>
      </c>
      <c r="F19" s="28">
        <f t="shared" si="4"/>
        <v>0.11479665950187223</v>
      </c>
      <c r="S19" s="4"/>
      <c r="T19" s="4"/>
      <c r="U19" s="11">
        <f>+IF('Specified Odds Ratio'!$Q$60 &gt; 0, 'Specified Odds Ratio'!T15,"")</f>
        <v>0.54999999999999993</v>
      </c>
      <c r="V19" s="11">
        <f>+'Specified Odds Ratio'!V15</f>
        <v>0.77114460475214064</v>
      </c>
      <c r="W19" s="4"/>
      <c r="X19" s="11">
        <f>+'Specified Odds Ratio'!W15</f>
        <v>0.31160751674969211</v>
      </c>
      <c r="Y19" s="11">
        <f>IF('Specified Odds Ratio'!$Q$60 &gt; 0,'Specified Odds Ratio'!Y15,"")</f>
        <v>0.54999999999999993</v>
      </c>
    </row>
    <row r="20" spans="1:25">
      <c r="A20">
        <f t="shared" si="5"/>
        <v>-3.1500000000000026</v>
      </c>
      <c r="B20">
        <f t="shared" si="0"/>
        <v>-2.5330397188506732</v>
      </c>
      <c r="C20">
        <f t="shared" si="3"/>
        <v>2.7942584148794246E-3</v>
      </c>
      <c r="D20">
        <f t="shared" si="1"/>
        <v>-3.1500000000000026</v>
      </c>
      <c r="E20">
        <f t="shared" si="2"/>
        <v>2.7942584148794246E-3</v>
      </c>
      <c r="F20" s="28">
        <f t="shared" si="4"/>
        <v>0.11839309471719486</v>
      </c>
      <c r="S20" s="4"/>
      <c r="T20" s="4"/>
      <c r="U20" s="11">
        <f>+IF('Specified Odds Ratio'!$Q$60 &gt; 0, 'Specified Odds Ratio'!T16,"")</f>
        <v>0.6</v>
      </c>
      <c r="V20" s="11">
        <f>+'Specified Odds Ratio'!V16</f>
        <v>0.80793377770940744</v>
      </c>
      <c r="W20" s="4"/>
      <c r="X20" s="11">
        <f>+'Specified Odds Ratio'!W16</f>
        <v>0.35807344241576466</v>
      </c>
      <c r="Y20" s="11">
        <f>IF('Specified Odds Ratio'!$Q$60 &gt; 0,'Specified Odds Ratio'!Y16,"")</f>
        <v>0.6</v>
      </c>
    </row>
    <row r="21" spans="1:25">
      <c r="A21">
        <f t="shared" si="5"/>
        <v>-3.1000000000000028</v>
      </c>
      <c r="B21">
        <f t="shared" si="0"/>
        <v>-2.4830397188506734</v>
      </c>
      <c r="C21">
        <f t="shared" si="3"/>
        <v>3.2668190561998922E-3</v>
      </c>
      <c r="D21">
        <f t="shared" si="1"/>
        <v>-3.1000000000000028</v>
      </c>
      <c r="E21">
        <f t="shared" si="2"/>
        <v>3.2668190561998922E-3</v>
      </c>
      <c r="F21" s="28">
        <f t="shared" si="4"/>
        <v>0.12210220173249962</v>
      </c>
      <c r="S21" s="4"/>
      <c r="T21" s="4"/>
      <c r="U21" s="11">
        <f>+IF('Specified Odds Ratio'!$Q$60 &gt; 0, 'Specified Odds Ratio'!T17,"")</f>
        <v>0.65</v>
      </c>
      <c r="V21" s="11">
        <f>+'Specified Odds Ratio'!V17</f>
        <v>0.84189599086507894</v>
      </c>
      <c r="W21" s="4"/>
      <c r="X21" s="11">
        <f>+'Specified Odds Ratio'!W17</f>
        <v>0.40840889037284311</v>
      </c>
      <c r="Y21" s="11">
        <f>IF('Specified Odds Ratio'!$Q$60 &gt; 0,'Specified Odds Ratio'!Y17,"")</f>
        <v>0.65</v>
      </c>
    </row>
    <row r="22" spans="1:25">
      <c r="A22">
        <f t="shared" si="5"/>
        <v>-3.0500000000000029</v>
      </c>
      <c r="B22">
        <f t="shared" si="0"/>
        <v>-2.4330397188506736</v>
      </c>
      <c r="C22">
        <f t="shared" si="3"/>
        <v>3.8097620982217727E-3</v>
      </c>
      <c r="D22">
        <f t="shared" si="1"/>
        <v>-3.0500000000000029</v>
      </c>
      <c r="E22">
        <f t="shared" si="2"/>
        <v>3.8097620982217727E-3</v>
      </c>
      <c r="F22" s="28">
        <f t="shared" si="4"/>
        <v>0.1259275104138208</v>
      </c>
      <c r="S22" s="4"/>
      <c r="T22" s="4"/>
      <c r="U22" s="11">
        <f>+IF('Specified Odds Ratio'!$Q$60 &gt; 0, 'Specified Odds Ratio'!T18,"")</f>
        <v>0.70000000000000007</v>
      </c>
      <c r="V22" s="11">
        <f>+'Specified Odds Ratio'!V18</f>
        <v>0.8731400935550786</v>
      </c>
      <c r="W22" s="4"/>
      <c r="X22" s="11">
        <f>+'Specified Odds Ratio'!W18</f>
        <v>0.46312665330883263</v>
      </c>
      <c r="Y22" s="11">
        <f>IF('Specified Odds Ratio'!$Q$60 &gt; 0,'Specified Odds Ratio'!Y18,"")</f>
        <v>0.70000000000000007</v>
      </c>
    </row>
    <row r="23" spans="1:25">
      <c r="A23">
        <f t="shared" si="5"/>
        <v>-3.0000000000000031</v>
      </c>
      <c r="B23">
        <f t="shared" si="0"/>
        <v>-2.3830397188506738</v>
      </c>
      <c r="C23">
        <f t="shared" si="3"/>
        <v>4.4318484119379676E-3</v>
      </c>
      <c r="D23">
        <f t="shared" si="1"/>
        <v>-3.0000000000000031</v>
      </c>
      <c r="E23">
        <f t="shared" si="2"/>
        <v>4.4318484119379676E-3</v>
      </c>
      <c r="F23" s="28">
        <f t="shared" si="4"/>
        <v>0.12987266121346394</v>
      </c>
      <c r="R23" s="4"/>
      <c r="S23" s="4"/>
      <c r="T23" s="4"/>
      <c r="U23" s="11">
        <f>+IF('Specified Odds Ratio'!$Q$60 &gt; 0, 'Specified Odds Ratio'!T19,"")</f>
        <v>0.75000000000000011</v>
      </c>
      <c r="V23" s="11">
        <f>+'Specified Odds Ratio'!V19</f>
        <v>0.90172616427433983</v>
      </c>
      <c r="W23" s="4"/>
      <c r="X23" s="11">
        <f>+'Specified Odds Ratio'!W19</f>
        <v>0.52293828396483122</v>
      </c>
      <c r="Y23" s="11">
        <f>IF('Specified Odds Ratio'!$Q$60 &gt; 0,'Specified Odds Ratio'!Y19,"")</f>
        <v>0.75000000000000011</v>
      </c>
    </row>
    <row r="24" spans="1:25">
      <c r="A24">
        <f t="shared" si="5"/>
        <v>-2.9500000000000033</v>
      </c>
      <c r="B24">
        <f t="shared" si="0"/>
        <v>-2.333039718850674</v>
      </c>
      <c r="C24">
        <f t="shared" si="3"/>
        <v>5.1426409230538881E-3</v>
      </c>
      <c r="D24">
        <f t="shared" si="1"/>
        <v>-2.9500000000000033</v>
      </c>
      <c r="E24">
        <f t="shared" si="2"/>
        <v>5.1426409230538881E-3</v>
      </c>
      <c r="F24" s="28">
        <f t="shared" si="4"/>
        <v>0.13394140863453458</v>
      </c>
      <c r="R24" s="4"/>
      <c r="S24" s="4"/>
      <c r="T24" s="4"/>
      <c r="U24" s="11">
        <f>+IF('Specified Odds Ratio'!$Q$60 &gt; 0, 'Specified Odds Ratio'!T20,"")</f>
        <v>0.80000000000000016</v>
      </c>
      <c r="V24" s="11">
        <f>+'Specified Odds Ratio'!V20</f>
        <v>0.92765983778027761</v>
      </c>
      <c r="W24" s="4"/>
      <c r="X24" s="11">
        <f>+'Specified Odds Ratio'!W20</f>
        <v>0.58887847823788431</v>
      </c>
      <c r="Y24" s="11">
        <f>IF('Specified Odds Ratio'!$Q$60 &gt; 0,'Specified Odds Ratio'!Y20,"")</f>
        <v>0.80000000000000016</v>
      </c>
    </row>
    <row r="25" spans="1:25">
      <c r="A25">
        <f t="shared" si="5"/>
        <v>-2.9000000000000035</v>
      </c>
      <c r="B25">
        <f t="shared" si="0"/>
        <v>-2.2830397188506741</v>
      </c>
      <c r="C25">
        <f t="shared" si="3"/>
        <v>5.9525324197757948E-3</v>
      </c>
      <c r="D25">
        <f t="shared" si="1"/>
        <v>-2.9000000000000035</v>
      </c>
      <c r="E25">
        <f t="shared" si="2"/>
        <v>5.9525324197757948E-3</v>
      </c>
      <c r="F25" s="28">
        <f t="shared" si="4"/>
        <v>0.13813762480400682</v>
      </c>
      <c r="R25" s="4"/>
      <c r="S25" s="4"/>
      <c r="T25" s="4"/>
      <c r="U25" s="11">
        <f>+IF('Specified Odds Ratio'!$Q$60 &gt; 0, 'Specified Odds Ratio'!T21,"")</f>
        <v>0.8500000000000002</v>
      </c>
      <c r="V25" s="11">
        <f>+'Specified Odds Ratio'!V21</f>
        <v>0.95087461491362468</v>
      </c>
      <c r="W25" s="4"/>
      <c r="X25" s="11">
        <f>+'Specified Odds Ratio'!W21</f>
        <v>0.66256479801031221</v>
      </c>
      <c r="Y25" s="11">
        <f>IF('Specified Odds Ratio'!$Q$60 &gt; 0,'Specified Odds Ratio'!Y21,"")</f>
        <v>0.8500000000000002</v>
      </c>
    </row>
    <row r="26" spans="1:25">
      <c r="A26">
        <f t="shared" si="5"/>
        <v>-2.8500000000000036</v>
      </c>
      <c r="B26">
        <f t="shared" si="0"/>
        <v>-2.2330397188506743</v>
      </c>
      <c r="C26">
        <f t="shared" si="3"/>
        <v>6.8727666906139035E-3</v>
      </c>
      <c r="D26">
        <f t="shared" si="1"/>
        <v>-2.8500000000000036</v>
      </c>
      <c r="E26">
        <f t="shared" si="2"/>
        <v>6.8727666906139035E-3</v>
      </c>
      <c r="F26" s="28">
        <f t="shared" si="4"/>
        <v>0.14246530315773145</v>
      </c>
      <c r="R26" s="4"/>
      <c r="S26" s="4"/>
      <c r="T26" s="4"/>
      <c r="U26" s="11">
        <f>+IF('Specified Odds Ratio'!$Q$60 &gt; 0, 'Specified Odds Ratio'!T22,"")</f>
        <v>0.90000000000000024</v>
      </c>
      <c r="V26" s="11">
        <f>+'Specified Odds Ratio'!V22</f>
        <v>0.97118565565106707</v>
      </c>
      <c r="W26" s="4"/>
      <c r="X26" s="11">
        <f>+'Specified Odds Ratio'!W22</f>
        <v>0.74684402734722799</v>
      </c>
      <c r="Y26" s="11">
        <f>IF('Specified Odds Ratio'!$Q$60 &gt; 0,'Specified Odds Ratio'!Y22,"")</f>
        <v>0.90000000000000024</v>
      </c>
    </row>
    <row r="27" spans="1:25">
      <c r="A27">
        <f t="shared" si="5"/>
        <v>-2.8000000000000038</v>
      </c>
      <c r="B27">
        <f t="shared" si="0"/>
        <v>-2.1830397188506745</v>
      </c>
      <c r="C27">
        <f t="shared" si="3"/>
        <v>7.9154515829798783E-3</v>
      </c>
      <c r="D27">
        <f t="shared" si="1"/>
        <v>-2.8000000000000038</v>
      </c>
      <c r="E27">
        <f t="shared" si="2"/>
        <v>7.9154515829798783E-3</v>
      </c>
      <c r="F27" s="28">
        <f t="shared" si="4"/>
        <v>0.14692856224089076</v>
      </c>
      <c r="R27" s="4"/>
      <c r="S27" s="4"/>
      <c r="T27" s="4"/>
      <c r="U27" s="11">
        <f>+IF('Specified Odds Ratio'!$Q$60 &gt; 0, 'Specified Odds Ratio'!T23,"")</f>
        <v>0.95000000000000029</v>
      </c>
      <c r="V27" s="11">
        <f>+'Specified Odds Ratio'!V23</f>
        <v>0.98814554840478386</v>
      </c>
      <c r="W27" s="4"/>
      <c r="X27" s="11">
        <f>+'Specified Odds Ratio'!W23</f>
        <v>0.84800000000000075</v>
      </c>
      <c r="Y27" s="11">
        <f>IF('Specified Odds Ratio'!$Q$60 &gt; 0,'Specified Odds Ratio'!Y23,"")</f>
        <v>0.95000000000000029</v>
      </c>
    </row>
    <row r="28" spans="1:25">
      <c r="A28">
        <f t="shared" si="5"/>
        <v>-2.750000000000004</v>
      </c>
      <c r="B28">
        <f t="shared" si="0"/>
        <v>-2.1330397188506747</v>
      </c>
      <c r="C28">
        <f t="shared" si="3"/>
        <v>9.0935625015909523E-3</v>
      </c>
      <c r="D28">
        <f t="shared" si="1"/>
        <v>-2.750000000000004</v>
      </c>
      <c r="E28">
        <f t="shared" si="2"/>
        <v>9.0935625015909523E-3</v>
      </c>
      <c r="F28" s="28">
        <f t="shared" si="4"/>
        <v>0.1515316496275167</v>
      </c>
      <c r="R28" s="4"/>
      <c r="S28" s="4"/>
      <c r="T28" s="4"/>
      <c r="U28" s="11">
        <f>+IF('Specified Odds Ratio'!$Q$60 &gt; 0, 'Specified Odds Ratio'!T24,"")</f>
        <v>0.99</v>
      </c>
      <c r="V28" s="11">
        <f>+'Specified Odds Ratio'!V24</f>
        <v>0.99837637493209286</v>
      </c>
      <c r="W28" s="4"/>
      <c r="X28" s="11">
        <f>+'Specified Odds Ratio'!W24</f>
        <v>0.95631041119055471</v>
      </c>
      <c r="Y28" s="11">
        <f>IF('Specified Odds Ratio'!$Q$60 &gt; 0,'Specified Odds Ratio'!Y24,"")</f>
        <v>0.99</v>
      </c>
    </row>
    <row r="29" spans="1:25">
      <c r="A29">
        <f t="shared" si="5"/>
        <v>-2.7000000000000042</v>
      </c>
      <c r="B29">
        <f t="shared" si="0"/>
        <v>-2.0830397188506748</v>
      </c>
      <c r="C29">
        <f t="shared" si="3"/>
        <v>1.0420934814422479E-2</v>
      </c>
      <c r="D29">
        <f t="shared" si="1"/>
        <v>-2.7000000000000042</v>
      </c>
      <c r="E29">
        <f t="shared" si="2"/>
        <v>1.0420934814422479E-2</v>
      </c>
      <c r="F29" s="28">
        <f t="shared" si="4"/>
        <v>0.15627894596280281</v>
      </c>
      <c r="R29" s="4"/>
      <c r="S29" s="4"/>
      <c r="T29" s="4"/>
      <c r="U29" s="4"/>
      <c r="V29" s="4"/>
      <c r="W29" s="4"/>
      <c r="X29" s="4"/>
    </row>
    <row r="30" spans="1:25">
      <c r="A30">
        <f t="shared" si="5"/>
        <v>-2.6500000000000044</v>
      </c>
      <c r="B30">
        <f t="shared" si="0"/>
        <v>-2.033039718850675</v>
      </c>
      <c r="C30">
        <f t="shared" si="3"/>
        <v>1.191224360760504E-2</v>
      </c>
      <c r="D30">
        <f t="shared" si="1"/>
        <v>-2.6500000000000044</v>
      </c>
      <c r="E30">
        <f t="shared" si="2"/>
        <v>1.191224360760504E-2</v>
      </c>
      <c r="F30" s="28">
        <f t="shared" si="4"/>
        <v>0.16117496913205678</v>
      </c>
      <c r="R30" s="4"/>
      <c r="S30" s="4"/>
      <c r="T30" s="4"/>
      <c r="U30" s="4"/>
      <c r="V30" s="4"/>
      <c r="W30" s="4"/>
      <c r="X30" s="4"/>
    </row>
    <row r="31" spans="1:25">
      <c r="A31">
        <f t="shared" si="5"/>
        <v>-2.6000000000000045</v>
      </c>
      <c r="B31">
        <f t="shared" si="0"/>
        <v>-1.9830397188506752</v>
      </c>
      <c r="C31">
        <f t="shared" si="3"/>
        <v>1.3582969233685453E-2</v>
      </c>
      <c r="D31">
        <f t="shared" si="1"/>
        <v>-2.6000000000000045</v>
      </c>
      <c r="E31">
        <f t="shared" si="2"/>
        <v>1.3582969233685453E-2</v>
      </c>
      <c r="F31" s="28">
        <f t="shared" si="4"/>
        <v>0.16622437856026065</v>
      </c>
      <c r="R31" s="4"/>
      <c r="S31" s="4"/>
      <c r="T31" s="4"/>
      <c r="U31" s="4"/>
      <c r="V31" s="4"/>
      <c r="W31" s="4"/>
      <c r="X31" s="4"/>
    </row>
    <row r="32" spans="1:25">
      <c r="A32">
        <f t="shared" si="5"/>
        <v>-2.5500000000000047</v>
      </c>
      <c r="B32">
        <f t="shared" si="0"/>
        <v>-1.9330397188506754</v>
      </c>
      <c r="C32">
        <f t="shared" si="3"/>
        <v>1.544934713439498E-2</v>
      </c>
      <c r="D32">
        <f t="shared" si="1"/>
        <v>-2.5500000000000047</v>
      </c>
      <c r="E32">
        <f t="shared" si="2"/>
        <v>1.544934713439498E-2</v>
      </c>
      <c r="F32" s="28">
        <f t="shared" si="4"/>
        <v>0.17143197964633133</v>
      </c>
      <c r="R32" s="4"/>
      <c r="S32" s="4"/>
      <c r="T32" s="4"/>
      <c r="U32" s="4"/>
      <c r="V32" s="4"/>
      <c r="W32" s="4"/>
      <c r="X32" s="4"/>
    </row>
    <row r="33" spans="1:24">
      <c r="A33">
        <f t="shared" si="5"/>
        <v>-2.5000000000000049</v>
      </c>
      <c r="B33">
        <f t="shared" si="0"/>
        <v>-1.8830397188506756</v>
      </c>
      <c r="C33">
        <f t="shared" si="3"/>
        <v>1.7528300493568318E-2</v>
      </c>
      <c r="D33">
        <f t="shared" si="1"/>
        <v>-2.5000000000000049</v>
      </c>
      <c r="E33">
        <f t="shared" si="2"/>
        <v>1.7528300493568318E-2</v>
      </c>
      <c r="F33" s="28">
        <f t="shared" si="4"/>
        <v>0.17680272833630065</v>
      </c>
      <c r="R33" s="4"/>
      <c r="S33" s="4"/>
      <c r="T33" s="4"/>
      <c r="U33" s="4"/>
      <c r="V33" s="4"/>
      <c r="W33" s="4"/>
      <c r="X33" s="4"/>
    </row>
    <row r="34" spans="1:24">
      <c r="A34">
        <f t="shared" si="5"/>
        <v>-2.4500000000000051</v>
      </c>
      <c r="B34">
        <f t="shared" si="0"/>
        <v>-1.8330397188506757</v>
      </c>
      <c r="C34">
        <f t="shared" si="3"/>
        <v>1.9837354391795081E-2</v>
      </c>
      <c r="D34">
        <f t="shared" si="1"/>
        <v>-2.4500000000000051</v>
      </c>
      <c r="E34">
        <f t="shared" si="2"/>
        <v>1.9837354391795081E-2</v>
      </c>
      <c r="F34" s="28">
        <f t="shared" si="4"/>
        <v>0.18234173583976743</v>
      </c>
      <c r="R34" s="4"/>
      <c r="S34" s="4"/>
      <c r="T34" s="4"/>
      <c r="U34" s="4"/>
      <c r="V34" s="4"/>
      <c r="W34" s="4"/>
      <c r="X34" s="4"/>
    </row>
    <row r="35" spans="1:24">
      <c r="A35">
        <f t="shared" si="5"/>
        <v>-2.4000000000000052</v>
      </c>
      <c r="B35">
        <f t="shared" si="0"/>
        <v>-1.7830397188506759</v>
      </c>
      <c r="C35">
        <f t="shared" si="3"/>
        <v>2.2394530294842608E-2</v>
      </c>
      <c r="D35">
        <f t="shared" si="1"/>
        <v>-2.4000000000000052</v>
      </c>
      <c r="E35">
        <f t="shared" si="2"/>
        <v>2.2394530294842608E-2</v>
      </c>
      <c r="F35" s="28">
        <f t="shared" si="4"/>
        <v>0.18805427349411002</v>
      </c>
      <c r="R35" s="4"/>
      <c r="S35" s="4"/>
      <c r="T35" s="4"/>
      <c r="U35" s="4"/>
      <c r="V35" s="4"/>
      <c r="W35" s="4"/>
      <c r="X35" s="4"/>
    </row>
    <row r="36" spans="1:24">
      <c r="A36">
        <f t="shared" si="5"/>
        <v>-2.3500000000000054</v>
      </c>
      <c r="B36">
        <f t="shared" ref="B36:B67" si="6">+(A36+B$3)/C$3</f>
        <v>-1.7330397188506761</v>
      </c>
      <c r="C36">
        <f t="shared" ref="C36:C67" si="7">NORMDIST(B36,B$3,C$3,FALSE)</f>
        <v>2.5218219915194063E-2</v>
      </c>
      <c r="D36">
        <f t="shared" ref="D36:D67" si="8">+(A36+D$3)/E$3</f>
        <v>-2.3500000000000054</v>
      </c>
      <c r="E36">
        <f t="shared" ref="E36:E67" si="9">NORMDIST(D36,D$3,E$3,FALSE)</f>
        <v>2.5218219915194063E-2</v>
      </c>
      <c r="F36" s="28">
        <f t="shared" si="4"/>
        <v>0.19394577778108882</v>
      </c>
      <c r="R36" s="4"/>
      <c r="S36" s="4"/>
      <c r="T36" s="4"/>
      <c r="U36" s="4"/>
      <c r="V36" s="4"/>
      <c r="W36" s="4"/>
      <c r="X36" s="4"/>
    </row>
    <row r="37" spans="1:24">
      <c r="A37">
        <f t="shared" si="5"/>
        <v>-2.3000000000000056</v>
      </c>
      <c r="B37">
        <f t="shared" si="6"/>
        <v>-1.6830397188506763</v>
      </c>
      <c r="C37">
        <f t="shared" si="7"/>
        <v>2.8327037741600808E-2</v>
      </c>
      <c r="D37">
        <f t="shared" si="8"/>
        <v>-2.3000000000000056</v>
      </c>
      <c r="E37">
        <f t="shared" si="9"/>
        <v>2.8327037741600808E-2</v>
      </c>
      <c r="F37" s="28">
        <f t="shared" si="4"/>
        <v>0.20002185550061224</v>
      </c>
    </row>
    <row r="38" spans="1:24">
      <c r="A38">
        <f t="shared" si="5"/>
        <v>-2.2500000000000058</v>
      </c>
      <c r="B38">
        <f t="shared" si="6"/>
        <v>-1.6330397188506764</v>
      </c>
      <c r="C38">
        <f t="shared" si="7"/>
        <v>3.1739651835667008E-2</v>
      </c>
      <c r="D38">
        <f t="shared" si="8"/>
        <v>-2.2500000000000058</v>
      </c>
      <c r="E38">
        <f t="shared" si="9"/>
        <v>3.1739651835667008E-2</v>
      </c>
      <c r="F38" s="28">
        <f t="shared" si="4"/>
        <v>0.20628828910659047</v>
      </c>
    </row>
    <row r="39" spans="1:24">
      <c r="A39">
        <f t="shared" si="5"/>
        <v>-2.200000000000006</v>
      </c>
      <c r="B39">
        <f t="shared" si="6"/>
        <v>-1.5830397188506766</v>
      </c>
      <c r="C39">
        <f t="shared" si="7"/>
        <v>3.547459284623096E-2</v>
      </c>
      <c r="D39">
        <f t="shared" si="8"/>
        <v>-2.200000000000006</v>
      </c>
      <c r="E39">
        <f t="shared" si="9"/>
        <v>3.547459284623096E-2</v>
      </c>
      <c r="F39" s="28">
        <f t="shared" si="4"/>
        <v>0.21275104220995489</v>
      </c>
    </row>
    <row r="40" spans="1:24">
      <c r="A40">
        <f t="shared" si="5"/>
        <v>-2.1500000000000061</v>
      </c>
      <c r="B40">
        <f t="shared" si="6"/>
        <v>-1.5330397188506768</v>
      </c>
      <c r="C40">
        <f t="shared" si="7"/>
        <v>3.9550041589369693E-2</v>
      </c>
      <c r="D40">
        <f t="shared" si="8"/>
        <v>-2.1500000000000061</v>
      </c>
      <c r="E40">
        <f t="shared" si="9"/>
        <v>3.9550041589369693E-2</v>
      </c>
      <c r="F40" s="28">
        <f t="shared" si="4"/>
        <v>0.21941626525408006</v>
      </c>
    </row>
    <row r="41" spans="1:24">
      <c r="A41">
        <f t="shared" si="5"/>
        <v>-2.1000000000000063</v>
      </c>
      <c r="B41">
        <f t="shared" si="6"/>
        <v>-1.483039718850677</v>
      </c>
      <c r="C41">
        <f t="shared" si="7"/>
        <v>4.3983595980426601E-2</v>
      </c>
      <c r="D41">
        <f t="shared" si="8"/>
        <v>-2.1000000000000063</v>
      </c>
      <c r="E41">
        <f t="shared" si="9"/>
        <v>4.3983595980426601E-2</v>
      </c>
      <c r="F41" s="28">
        <f t="shared" si="4"/>
        <v>0.22629030136800957</v>
      </c>
    </row>
    <row r="42" spans="1:24">
      <c r="A42">
        <f t="shared" si="5"/>
        <v>-2.0500000000000065</v>
      </c>
      <c r="B42">
        <f t="shared" si="6"/>
        <v>-1.4330397188506772</v>
      </c>
      <c r="C42">
        <f t="shared" si="7"/>
        <v>4.8792018579182105E-2</v>
      </c>
      <c r="D42">
        <f t="shared" si="8"/>
        <v>-2.0500000000000065</v>
      </c>
      <c r="E42">
        <f t="shared" si="9"/>
        <v>4.8792018579182105E-2</v>
      </c>
      <c r="F42" s="28">
        <f t="shared" si="4"/>
        <v>0.2333796924030562</v>
      </c>
    </row>
    <row r="43" spans="1:24">
      <c r="A43">
        <f t="shared" si="5"/>
        <v>-2.0000000000000067</v>
      </c>
      <c r="B43">
        <f t="shared" si="6"/>
        <v>-1.3830397188506773</v>
      </c>
      <c r="C43">
        <f t="shared" si="7"/>
        <v>5.3990966513187334E-2</v>
      </c>
      <c r="D43">
        <f t="shared" si="8"/>
        <v>-2.0000000000000067</v>
      </c>
      <c r="E43">
        <f t="shared" si="9"/>
        <v>5.3990966513187334E-2</v>
      </c>
      <c r="F43" s="28">
        <f t="shared" si="4"/>
        <v>0.24069118515852109</v>
      </c>
    </row>
    <row r="44" spans="1:24">
      <c r="A44">
        <f t="shared" si="5"/>
        <v>-1.9500000000000066</v>
      </c>
      <c r="B44">
        <f t="shared" si="6"/>
        <v>-1.3330397188506773</v>
      </c>
      <c r="C44">
        <f t="shared" si="7"/>
        <v>5.9594706068815291E-2</v>
      </c>
      <c r="D44">
        <f t="shared" si="8"/>
        <v>-1.9500000000000066</v>
      </c>
      <c r="E44">
        <f t="shared" si="9"/>
        <v>5.9594706068815291E-2</v>
      </c>
      <c r="F44" s="28">
        <f t="shared" si="4"/>
        <v>0.24823173780245691</v>
      </c>
      <c r="H44">
        <f>+IF(B44="#NUM!",1,0)</f>
        <v>0</v>
      </c>
    </row>
    <row r="45" spans="1:24">
      <c r="A45">
        <f t="shared" si="5"/>
        <v>-1.9000000000000066</v>
      </c>
      <c r="B45">
        <f t="shared" si="6"/>
        <v>-1.2830397188506772</v>
      </c>
      <c r="C45">
        <f t="shared" si="7"/>
        <v>6.5615814774675763E-2</v>
      </c>
      <c r="D45">
        <f t="shared" si="8"/>
        <v>-1.9000000000000066</v>
      </c>
      <c r="E45">
        <f t="shared" si="9"/>
        <v>6.5615814774675763E-2</v>
      </c>
      <c r="F45" s="28">
        <f t="shared" si="4"/>
        <v>0.25600852649358541</v>
      </c>
    </row>
    <row r="46" spans="1:24">
      <c r="A46">
        <f t="shared" si="5"/>
        <v>-1.8500000000000065</v>
      </c>
      <c r="B46">
        <f t="shared" si="6"/>
        <v>-1.2330397188506772</v>
      </c>
      <c r="C46">
        <f t="shared" si="7"/>
        <v>7.2064874336217111E-2</v>
      </c>
      <c r="D46">
        <f t="shared" si="8"/>
        <v>-1.8500000000000065</v>
      </c>
      <c r="E46">
        <f t="shared" si="9"/>
        <v>7.2064874336217111E-2</v>
      </c>
      <c r="F46" s="28">
        <f t="shared" si="4"/>
        <v>0.26402895221067146</v>
      </c>
    </row>
    <row r="47" spans="1:24">
      <c r="A47">
        <f t="shared" si="5"/>
        <v>-1.8000000000000065</v>
      </c>
      <c r="B47">
        <f t="shared" si="6"/>
        <v>-1.1830397188506772</v>
      </c>
      <c r="C47">
        <f t="shared" si="7"/>
        <v>7.8950158300893233E-2</v>
      </c>
      <c r="D47">
        <f t="shared" si="8"/>
        <v>-1.8000000000000065</v>
      </c>
      <c r="E47">
        <f t="shared" si="9"/>
        <v>7.8950158300893233E-2</v>
      </c>
      <c r="F47" s="28">
        <f t="shared" si="4"/>
        <v>0.27230064779585272</v>
      </c>
    </row>
    <row r="48" spans="1:24">
      <c r="A48">
        <f t="shared" si="5"/>
        <v>-1.7500000000000064</v>
      </c>
      <c r="B48">
        <f t="shared" si="6"/>
        <v>-1.1330397188506771</v>
      </c>
      <c r="C48">
        <f t="shared" si="7"/>
        <v>8.6277318826510532E-2</v>
      </c>
      <c r="D48">
        <f t="shared" si="8"/>
        <v>-1.7500000000000064</v>
      </c>
      <c r="E48">
        <f t="shared" si="9"/>
        <v>8.6277318826510532E-2</v>
      </c>
      <c r="F48" s="28">
        <f t="shared" si="4"/>
        <v>0.28083148521862805</v>
      </c>
    </row>
    <row r="49" spans="1:6">
      <c r="A49">
        <f t="shared" si="5"/>
        <v>-1.7000000000000064</v>
      </c>
      <c r="B49">
        <f t="shared" si="6"/>
        <v>-1.0830397188506771</v>
      </c>
      <c r="C49">
        <f t="shared" si="7"/>
        <v>9.4049077376885878E-2</v>
      </c>
      <c r="D49">
        <f t="shared" si="8"/>
        <v>-1.7000000000000064</v>
      </c>
      <c r="E49">
        <f t="shared" si="9"/>
        <v>9.4049077376885878E-2</v>
      </c>
      <c r="F49" s="28">
        <f t="shared" si="4"/>
        <v>0.28962958306741743</v>
      </c>
    </row>
    <row r="50" spans="1:6">
      <c r="A50">
        <f t="shared" si="5"/>
        <v>-1.6500000000000064</v>
      </c>
      <c r="B50">
        <f t="shared" si="6"/>
        <v>-1.033039718850677</v>
      </c>
      <c r="C50">
        <f t="shared" si="7"/>
        <v>0.10226492456397691</v>
      </c>
      <c r="D50">
        <f t="shared" si="8"/>
        <v>-1.6500000000000064</v>
      </c>
      <c r="E50">
        <f t="shared" si="9"/>
        <v>0.10226492456397691</v>
      </c>
      <c r="F50" s="28">
        <f t="shared" si="4"/>
        <v>0.29870331427582325</v>
      </c>
    </row>
    <row r="51" spans="1:6">
      <c r="A51">
        <f t="shared" si="5"/>
        <v>-1.6000000000000063</v>
      </c>
      <c r="B51">
        <f t="shared" si="6"/>
        <v>-0.98303971885067698</v>
      </c>
      <c r="C51">
        <f t="shared" si="7"/>
        <v>0.11092083467945445</v>
      </c>
      <c r="D51">
        <f t="shared" si="8"/>
        <v>-1.6000000000000063</v>
      </c>
      <c r="E51">
        <f t="shared" si="9"/>
        <v>0.11092083467945445</v>
      </c>
      <c r="F51" s="28">
        <f t="shared" si="4"/>
        <v>0.30806131409094534</v>
      </c>
    </row>
    <row r="52" spans="1:6">
      <c r="A52">
        <f t="shared" si="5"/>
        <v>-1.5500000000000063</v>
      </c>
      <c r="B52">
        <f t="shared" si="6"/>
        <v>-0.93303971885067694</v>
      </c>
      <c r="C52">
        <f t="shared" si="7"/>
        <v>0.12000900069698442</v>
      </c>
      <c r="D52">
        <f t="shared" si="8"/>
        <v>-1.5500000000000063</v>
      </c>
      <c r="E52">
        <f t="shared" si="9"/>
        <v>0.12000900069698442</v>
      </c>
      <c r="F52" s="28">
        <f t="shared" si="4"/>
        <v>0.31771248829133369</v>
      </c>
    </row>
    <row r="53" spans="1:6">
      <c r="A53">
        <f t="shared" si="5"/>
        <v>-1.5000000000000062</v>
      </c>
      <c r="B53">
        <f t="shared" si="6"/>
        <v>-0.88303971885067689</v>
      </c>
      <c r="C53">
        <f t="shared" si="7"/>
        <v>0.12951759566589049</v>
      </c>
      <c r="D53">
        <f t="shared" si="8"/>
        <v>-1.5000000000000062</v>
      </c>
      <c r="E53">
        <f t="shared" si="9"/>
        <v>0.12951759566589049</v>
      </c>
      <c r="F53" s="28">
        <f t="shared" si="4"/>
        <v>0.32766602166239917</v>
      </c>
    </row>
    <row r="54" spans="1:6">
      <c r="A54">
        <f t="shared" si="5"/>
        <v>-1.4500000000000062</v>
      </c>
      <c r="B54">
        <f t="shared" si="6"/>
        <v>-0.83303971885067685</v>
      </c>
      <c r="C54">
        <f t="shared" si="7"/>
        <v>0.13943056644535901</v>
      </c>
      <c r="D54">
        <f t="shared" si="8"/>
        <v>-1.4500000000000062</v>
      </c>
      <c r="E54">
        <f t="shared" si="9"/>
        <v>0.13943056644535901</v>
      </c>
      <c r="F54" s="28">
        <f t="shared" si="4"/>
        <v>0.33793138673734807</v>
      </c>
    </row>
    <row r="55" spans="1:6">
      <c r="A55">
        <f t="shared" si="5"/>
        <v>-1.4000000000000061</v>
      </c>
      <c r="B55">
        <f t="shared" si="6"/>
        <v>-0.7830397188506768</v>
      </c>
      <c r="C55">
        <f t="shared" si="7"/>
        <v>0.14972746563574357</v>
      </c>
      <c r="D55">
        <f t="shared" si="8"/>
        <v>-1.4000000000000061</v>
      </c>
      <c r="E55">
        <f t="shared" si="9"/>
        <v>0.14972746563574357</v>
      </c>
      <c r="F55" s="28">
        <f t="shared" si="4"/>
        <v>0.3485183528119592</v>
      </c>
    </row>
    <row r="56" spans="1:6">
      <c r="A56">
        <f t="shared" si="5"/>
        <v>-1.3500000000000061</v>
      </c>
      <c r="B56">
        <f t="shared" si="6"/>
        <v>-0.73303971885067676</v>
      </c>
      <c r="C56">
        <f t="shared" si="7"/>
        <v>0.16038332734191826</v>
      </c>
      <c r="D56">
        <f t="shared" si="8"/>
        <v>-1.3500000000000061</v>
      </c>
      <c r="E56">
        <f t="shared" si="9"/>
        <v>0.16038332734191826</v>
      </c>
      <c r="F56" s="28">
        <f t="shared" si="4"/>
        <v>0.35943699524178291</v>
      </c>
    </row>
    <row r="57" spans="1:6">
      <c r="A57">
        <f t="shared" si="5"/>
        <v>-1.300000000000006</v>
      </c>
      <c r="B57">
        <f t="shared" si="6"/>
        <v>-0.68303971885067671</v>
      </c>
      <c r="C57">
        <f t="shared" si="7"/>
        <v>0.171368592047806</v>
      </c>
      <c r="D57">
        <f t="shared" si="8"/>
        <v>-1.300000000000006</v>
      </c>
      <c r="E57">
        <f t="shared" si="9"/>
        <v>0.171368592047806</v>
      </c>
      <c r="F57" s="28">
        <f t="shared" si="4"/>
        <v>0.37069770503060923</v>
      </c>
    </row>
    <row r="58" spans="1:6">
      <c r="A58">
        <f t="shared" si="5"/>
        <v>-1.250000000000006</v>
      </c>
      <c r="B58">
        <f t="shared" si="6"/>
        <v>-0.63303971885067667</v>
      </c>
      <c r="C58">
        <f t="shared" si="7"/>
        <v>0.18264908538902053</v>
      </c>
      <c r="D58">
        <f t="shared" si="8"/>
        <v>-1.250000000000006</v>
      </c>
      <c r="E58">
        <f t="shared" si="9"/>
        <v>0.18264908538902053</v>
      </c>
      <c r="F58" s="28">
        <f t="shared" si="4"/>
        <v>0.38231119871933128</v>
      </c>
    </row>
    <row r="59" spans="1:6">
      <c r="A59">
        <f t="shared" si="5"/>
        <v>-1.200000000000006</v>
      </c>
      <c r="B59">
        <f t="shared" si="6"/>
        <v>-0.58303971885067662</v>
      </c>
      <c r="C59">
        <f t="shared" si="7"/>
        <v>0.19418605498321151</v>
      </c>
      <c r="D59">
        <f t="shared" si="8"/>
        <v>-1.200000000000006</v>
      </c>
      <c r="E59">
        <f t="shared" si="9"/>
        <v>0.19418605498321151</v>
      </c>
      <c r="F59" s="28">
        <f t="shared" si="4"/>
        <v>0.3942885285846135</v>
      </c>
    </row>
    <row r="60" spans="1:6">
      <c r="A60">
        <f t="shared" si="5"/>
        <v>-1.1500000000000059</v>
      </c>
      <c r="B60">
        <f t="shared" si="6"/>
        <v>-0.53303971885067658</v>
      </c>
      <c r="C60">
        <f t="shared" si="7"/>
        <v>0.20593626871997334</v>
      </c>
      <c r="D60">
        <f t="shared" si="8"/>
        <v>-1.1500000000000059</v>
      </c>
      <c r="E60">
        <f t="shared" si="9"/>
        <v>0.20593626871997334</v>
      </c>
      <c r="F60" s="28">
        <f t="shared" si="4"/>
        <v>0.40664109315707225</v>
      </c>
    </row>
    <row r="61" spans="1:6">
      <c r="A61">
        <f t="shared" si="5"/>
        <v>-1.1000000000000059</v>
      </c>
      <c r="B61">
        <f t="shared" si="6"/>
        <v>-0.48303971885067654</v>
      </c>
      <c r="C61">
        <f t="shared" si="7"/>
        <v>0.21785217703254914</v>
      </c>
      <c r="D61">
        <f t="shared" si="8"/>
        <v>-1.1000000000000059</v>
      </c>
      <c r="E61">
        <f t="shared" si="9"/>
        <v>0.21785217703254914</v>
      </c>
      <c r="F61" s="28">
        <f t="shared" si="4"/>
        <v>0.41938064806897746</v>
      </c>
    </row>
    <row r="62" spans="1:6">
      <c r="A62">
        <f t="shared" si="5"/>
        <v>-1.0500000000000058</v>
      </c>
      <c r="B62">
        <f t="shared" si="6"/>
        <v>-0.43303971885067649</v>
      </c>
      <c r="C62">
        <f t="shared" si="7"/>
        <v>0.2298821406842316</v>
      </c>
      <c r="D62">
        <f t="shared" si="8"/>
        <v>-1.0500000000000058</v>
      </c>
      <c r="E62">
        <f t="shared" si="9"/>
        <v>0.2298821406842316</v>
      </c>
      <c r="F62" s="28">
        <f t="shared" si="4"/>
        <v>0.43251931724179865</v>
      </c>
    </row>
    <row r="63" spans="1:6">
      <c r="A63">
        <f t="shared" si="5"/>
        <v>-1.0000000000000058</v>
      </c>
      <c r="B63">
        <f t="shared" si="6"/>
        <v>-0.38303971885067645</v>
      </c>
      <c r="C63">
        <f t="shared" si="7"/>
        <v>0.24197072451914192</v>
      </c>
      <c r="D63">
        <f t="shared" si="8"/>
        <v>-1.0000000000000058</v>
      </c>
      <c r="E63">
        <f t="shared" si="9"/>
        <v>0.24197072451914192</v>
      </c>
      <c r="F63" s="28">
        <f t="shared" si="4"/>
        <v>0.44606960442424348</v>
      </c>
    </row>
    <row r="64" spans="1:6">
      <c r="A64">
        <f t="shared" si="5"/>
        <v>-0.95000000000000573</v>
      </c>
      <c r="B64">
        <f t="shared" si="6"/>
        <v>-0.3330397188506764</v>
      </c>
      <c r="C64">
        <f t="shared" si="7"/>
        <v>0.25405905646918758</v>
      </c>
      <c r="D64">
        <f t="shared" si="8"/>
        <v>-0.95000000000000573</v>
      </c>
      <c r="E64">
        <f t="shared" si="9"/>
        <v>0.25405905646918758</v>
      </c>
      <c r="F64" s="28">
        <f t="shared" si="4"/>
        <v>0.4600444050917683</v>
      </c>
    </row>
    <row r="65" spans="1:6">
      <c r="A65">
        <f t="shared" si="5"/>
        <v>-0.90000000000000568</v>
      </c>
      <c r="B65">
        <f t="shared" si="6"/>
        <v>-0.28303971885067636</v>
      </c>
      <c r="C65">
        <f t="shared" si="7"/>
        <v>0.26608524989875343</v>
      </c>
      <c r="D65">
        <f t="shared" si="8"/>
        <v>-0.90000000000000568</v>
      </c>
      <c r="E65">
        <f t="shared" si="9"/>
        <v>0.26608524989875343</v>
      </c>
      <c r="F65" s="28">
        <f t="shared" si="4"/>
        <v>0.47445701871888518</v>
      </c>
    </row>
    <row r="66" spans="1:6">
      <c r="A66">
        <f t="shared" si="5"/>
        <v>-0.85000000000000564</v>
      </c>
      <c r="B66">
        <f t="shared" si="6"/>
        <v>-0.23303971885067631</v>
      </c>
      <c r="C66">
        <f t="shared" si="7"/>
        <v>0.27798488613099509</v>
      </c>
      <c r="D66">
        <f t="shared" si="8"/>
        <v>-0.85000000000000564</v>
      </c>
      <c r="E66">
        <f t="shared" si="9"/>
        <v>0.27798488613099509</v>
      </c>
      <c r="F66" s="28">
        <f t="shared" si="4"/>
        <v>0.48932116143594528</v>
      </c>
    </row>
    <row r="67" spans="1:6">
      <c r="A67">
        <f t="shared" si="5"/>
        <v>-0.8000000000000056</v>
      </c>
      <c r="B67">
        <f t="shared" si="6"/>
        <v>-0.18303971885067627</v>
      </c>
      <c r="C67">
        <f t="shared" si="7"/>
        <v>0.2896915527614814</v>
      </c>
      <c r="D67">
        <f t="shared" si="8"/>
        <v>-0.8000000000000056</v>
      </c>
      <c r="E67">
        <f t="shared" si="9"/>
        <v>0.2896915527614814</v>
      </c>
      <c r="F67" s="28">
        <f t="shared" si="4"/>
        <v>0.50465097908244316</v>
      </c>
    </row>
    <row r="68" spans="1:6">
      <c r="A68">
        <f t="shared" si="5"/>
        <v>-0.75000000000000555</v>
      </c>
      <c r="B68">
        <f t="shared" ref="B68:B99" si="10">+(A68+B$3)/C$3</f>
        <v>-0.13303971885067623</v>
      </c>
      <c r="C68">
        <f t="shared" ref="C68:C99" si="11">NORMDIST(B68,B$3,C$3,FALSE)</f>
        <v>0.30113743215480315</v>
      </c>
      <c r="D68">
        <f t="shared" ref="D68:D99" si="12">+(A68+D$3)/E$3</f>
        <v>-0.75000000000000555</v>
      </c>
      <c r="E68">
        <f t="shared" ref="E68:E99" si="13">NORMDIST(D68,D$3,E$3,FALSE)</f>
        <v>0.30113743215480315</v>
      </c>
      <c r="F68" s="28">
        <f t="shared" si="4"/>
        <v>0.52046106066926434</v>
      </c>
    </row>
    <row r="69" spans="1:6">
      <c r="A69">
        <f t="shared" si="5"/>
        <v>-0.70000000000000551</v>
      </c>
      <c r="B69">
        <f t="shared" si="10"/>
        <v>-8.3039718850676181E-2</v>
      </c>
      <c r="C69">
        <f t="shared" si="11"/>
        <v>0.31225393336676005</v>
      </c>
      <c r="D69">
        <f t="shared" si="12"/>
        <v>-0.70000000000000551</v>
      </c>
      <c r="E69">
        <f t="shared" si="13"/>
        <v>0.31225393336676005</v>
      </c>
      <c r="F69" s="28">
        <f t="shared" ref="F69:F132" si="14">+EXP(A69*B$3-(B$3^2)/2)</f>
        <v>0.53676645226268938</v>
      </c>
    </row>
    <row r="70" spans="1:6">
      <c r="A70">
        <f t="shared" si="5"/>
        <v>-0.65000000000000546</v>
      </c>
      <c r="B70">
        <f t="shared" si="10"/>
        <v>-3.3039718850676136E-2</v>
      </c>
      <c r="C70">
        <f t="shared" si="11"/>
        <v>0.3229723596679131</v>
      </c>
      <c r="D70">
        <f t="shared" si="12"/>
        <v>-0.65000000000000546</v>
      </c>
      <c r="E70">
        <f t="shared" si="13"/>
        <v>0.3229723596679131</v>
      </c>
      <c r="F70" s="28">
        <f t="shared" si="14"/>
        <v>0.55358267130336491</v>
      </c>
    </row>
    <row r="71" spans="1:6">
      <c r="A71">
        <f t="shared" ref="A71:A134" si="15">+A70+0.05</f>
        <v>-0.60000000000000542</v>
      </c>
      <c r="B71">
        <f t="shared" si="10"/>
        <v>1.6960281149323908E-2</v>
      </c>
      <c r="C71">
        <f t="shared" si="11"/>
        <v>0.33322460289179856</v>
      </c>
      <c r="D71">
        <f t="shared" si="12"/>
        <v>-0.60000000000000542</v>
      </c>
      <c r="E71">
        <f t="shared" si="13"/>
        <v>0.33322460289179856</v>
      </c>
      <c r="F71" s="28">
        <f t="shared" si="14"/>
        <v>0.57092572137387088</v>
      </c>
    </row>
    <row r="72" spans="1:6">
      <c r="A72">
        <f t="shared" si="15"/>
        <v>-0.55000000000000537</v>
      </c>
      <c r="B72">
        <f t="shared" si="10"/>
        <v>6.6960281149323952E-2</v>
      </c>
      <c r="C72">
        <f t="shared" si="11"/>
        <v>0.34294385501938285</v>
      </c>
      <c r="D72">
        <f t="shared" si="12"/>
        <v>-0.55000000000000537</v>
      </c>
      <c r="E72">
        <f t="shared" si="13"/>
        <v>0.34294385501938285</v>
      </c>
      <c r="F72" s="28">
        <f t="shared" si="14"/>
        <v>0.58881210742893708</v>
      </c>
    </row>
    <row r="73" spans="1:6">
      <c r="A73">
        <f t="shared" si="15"/>
        <v>-0.50000000000000533</v>
      </c>
      <c r="B73">
        <f t="shared" si="10"/>
        <v>0.116960281149324</v>
      </c>
      <c r="C73">
        <f t="shared" si="11"/>
        <v>0.35206532676429853</v>
      </c>
      <c r="D73">
        <f t="shared" si="12"/>
        <v>-0.50000000000000533</v>
      </c>
      <c r="E73">
        <f t="shared" si="13"/>
        <v>0.35206532676429853</v>
      </c>
      <c r="F73" s="28">
        <f t="shared" si="14"/>
        <v>0.6072588515028029</v>
      </c>
    </row>
    <row r="74" spans="1:6">
      <c r="A74">
        <f t="shared" si="15"/>
        <v>-0.45000000000000534</v>
      </c>
      <c r="B74">
        <f t="shared" si="10"/>
        <v>0.16696028114932399</v>
      </c>
      <c r="C74">
        <f t="shared" si="11"/>
        <v>0.36052696246164706</v>
      </c>
      <c r="D74">
        <f t="shared" si="12"/>
        <v>-0.45000000000000534</v>
      </c>
      <c r="E74">
        <f t="shared" si="13"/>
        <v>0.36052696246164706</v>
      </c>
      <c r="F74" s="28">
        <f t="shared" si="14"/>
        <v>0.62628350890866957</v>
      </c>
    </row>
    <row r="75" spans="1:6">
      <c r="A75">
        <f t="shared" si="15"/>
        <v>-0.40000000000000535</v>
      </c>
      <c r="B75">
        <f t="shared" si="10"/>
        <v>0.21696028114932397</v>
      </c>
      <c r="C75">
        <f t="shared" si="11"/>
        <v>0.36827014030332245</v>
      </c>
      <c r="D75">
        <f t="shared" si="12"/>
        <v>-0.40000000000000535</v>
      </c>
      <c r="E75">
        <f t="shared" si="13"/>
        <v>0.36827014030332245</v>
      </c>
      <c r="F75" s="28">
        <f t="shared" si="14"/>
        <v>0.64590418494566026</v>
      </c>
    </row>
    <row r="76" spans="1:6">
      <c r="A76">
        <f t="shared" si="15"/>
        <v>-0.35000000000000536</v>
      </c>
      <c r="B76">
        <f t="shared" si="10"/>
        <v>0.26696028114932396</v>
      </c>
      <c r="C76">
        <f t="shared" si="11"/>
        <v>0.37524034691693714</v>
      </c>
      <c r="D76">
        <f t="shared" si="12"/>
        <v>-0.35000000000000536</v>
      </c>
      <c r="E76">
        <f t="shared" si="13"/>
        <v>0.37524034691693714</v>
      </c>
      <c r="F76" s="28">
        <f t="shared" si="14"/>
        <v>0.66613955212918818</v>
      </c>
    </row>
    <row r="77" spans="1:6">
      <c r="A77">
        <f t="shared" si="15"/>
        <v>-0.30000000000000537</v>
      </c>
      <c r="B77">
        <f t="shared" si="10"/>
        <v>0.31696028114932395</v>
      </c>
      <c r="C77">
        <f t="shared" si="11"/>
        <v>0.38138781546052347</v>
      </c>
      <c r="D77">
        <f t="shared" si="12"/>
        <v>-0.30000000000000537</v>
      </c>
      <c r="E77">
        <f t="shared" si="13"/>
        <v>0.38138781546052347</v>
      </c>
      <c r="F77" s="28">
        <f t="shared" si="14"/>
        <v>0.68700886796113181</v>
      </c>
    </row>
    <row r="78" spans="1:6">
      <c r="A78">
        <f t="shared" si="15"/>
        <v>-0.25000000000000538</v>
      </c>
      <c r="B78">
        <f t="shared" si="10"/>
        <v>0.36696028114932394</v>
      </c>
      <c r="C78">
        <f t="shared" si="11"/>
        <v>0.38666811680284868</v>
      </c>
      <c r="D78">
        <f t="shared" si="12"/>
        <v>-0.25000000000000538</v>
      </c>
      <c r="E78">
        <f t="shared" si="13"/>
        <v>0.38666811680284868</v>
      </c>
      <c r="F78" s="28">
        <f t="shared" si="14"/>
        <v>0.70853199325672489</v>
      </c>
    </row>
    <row r="79" spans="1:6">
      <c r="A79">
        <f t="shared" si="15"/>
        <v>-0.2000000000000054</v>
      </c>
      <c r="B79">
        <f t="shared" si="10"/>
        <v>0.41696028114932393</v>
      </c>
      <c r="C79">
        <f t="shared" si="11"/>
        <v>0.39104269397545544</v>
      </c>
      <c r="D79">
        <f t="shared" si="12"/>
        <v>-0.2000000000000054</v>
      </c>
      <c r="E79">
        <f t="shared" si="13"/>
        <v>0.39104269397545544</v>
      </c>
      <c r="F79" s="28">
        <f t="shared" si="14"/>
        <v>0.73072941104560807</v>
      </c>
    </row>
    <row r="80" spans="1:6">
      <c r="A80">
        <f t="shared" si="15"/>
        <v>-0.15000000000000541</v>
      </c>
      <c r="B80">
        <f t="shared" si="10"/>
        <v>0.46696028114932392</v>
      </c>
      <c r="C80">
        <f t="shared" si="11"/>
        <v>0.3944793309078885</v>
      </c>
      <c r="D80">
        <f t="shared" si="12"/>
        <v>-0.15000000000000541</v>
      </c>
      <c r="E80">
        <f t="shared" si="13"/>
        <v>0.3944793309078885</v>
      </c>
      <c r="F80" s="28">
        <f t="shared" si="14"/>
        <v>0.75362224606502359</v>
      </c>
    </row>
    <row r="81" spans="1:6">
      <c r="A81">
        <f t="shared" si="15"/>
        <v>-0.1000000000000054</v>
      </c>
      <c r="B81">
        <f t="shared" si="10"/>
        <v>0.51696028114932391</v>
      </c>
      <c r="C81">
        <f t="shared" si="11"/>
        <v>0.39695254747701153</v>
      </c>
      <c r="D81">
        <f t="shared" si="12"/>
        <v>-0.1000000000000054</v>
      </c>
      <c r="E81">
        <f t="shared" si="13"/>
        <v>0.39695254747701153</v>
      </c>
      <c r="F81" s="28">
        <f t="shared" si="14"/>
        <v>0.77723228486370988</v>
      </c>
    </row>
    <row r="82" spans="1:6">
      <c r="A82">
        <f t="shared" si="15"/>
        <v>-5.0000000000005401E-2</v>
      </c>
      <c r="B82">
        <f t="shared" si="10"/>
        <v>0.56696028114932395</v>
      </c>
      <c r="C82">
        <f t="shared" si="11"/>
        <v>0.39844391409476387</v>
      </c>
      <c r="D82">
        <f t="shared" si="12"/>
        <v>-5.0000000000005401E-2</v>
      </c>
      <c r="E82">
        <f t="shared" si="13"/>
        <v>0.39844391409476387</v>
      </c>
      <c r="F82" s="28">
        <f t="shared" si="14"/>
        <v>0.80158199653562412</v>
      </c>
    </row>
    <row r="83" spans="1:6">
      <c r="A83">
        <f t="shared" si="15"/>
        <v>-5.3984594572398237E-15</v>
      </c>
      <c r="B83">
        <f t="shared" si="10"/>
        <v>0.61696028114932389</v>
      </c>
      <c r="C83">
        <f t="shared" si="11"/>
        <v>0.39894228040143265</v>
      </c>
      <c r="D83">
        <f t="shared" si="12"/>
        <v>-5.3984594572398237E-15</v>
      </c>
      <c r="E83">
        <f t="shared" si="13"/>
        <v>0.39894228040143265</v>
      </c>
      <c r="F83" s="28">
        <f t="shared" si="14"/>
        <v>0.82669455410322756</v>
      </c>
    </row>
    <row r="84" spans="1:6">
      <c r="A84">
        <f t="shared" si="15"/>
        <v>4.9999999999994604E-2</v>
      </c>
      <c r="B84">
        <f t="shared" si="10"/>
        <v>0.66696028114932393</v>
      </c>
      <c r="C84">
        <f t="shared" si="11"/>
        <v>0.3984439140947641</v>
      </c>
      <c r="D84">
        <f t="shared" si="12"/>
        <v>4.9999999999994604E-2</v>
      </c>
      <c r="E84">
        <f t="shared" si="13"/>
        <v>0.3984439140947641</v>
      </c>
      <c r="F84" s="28">
        <f t="shared" si="14"/>
        <v>0.85259385657068132</v>
      </c>
    </row>
    <row r="85" spans="1:6">
      <c r="A85">
        <f t="shared" si="15"/>
        <v>9.9999999999994607E-2</v>
      </c>
      <c r="B85">
        <f t="shared" si="10"/>
        <v>0.71696028114932397</v>
      </c>
      <c r="C85">
        <f t="shared" si="11"/>
        <v>0.39695254747701197</v>
      </c>
      <c r="D85">
        <f t="shared" si="12"/>
        <v>9.9999999999994607E-2</v>
      </c>
      <c r="E85">
        <f t="shared" si="13"/>
        <v>0.39695254747701197</v>
      </c>
      <c r="F85" s="28">
        <f t="shared" si="14"/>
        <v>0.87930455166794164</v>
      </c>
    </row>
    <row r="86" spans="1:6">
      <c r="A86">
        <f t="shared" si="15"/>
        <v>0.14999999999999461</v>
      </c>
      <c r="B86">
        <f t="shared" si="10"/>
        <v>0.76696028114932391</v>
      </c>
      <c r="C86">
        <f t="shared" si="11"/>
        <v>0.39447933090788917</v>
      </c>
      <c r="D86">
        <f t="shared" si="12"/>
        <v>0.14999999999999461</v>
      </c>
      <c r="E86">
        <f t="shared" si="13"/>
        <v>0.39447933090788917</v>
      </c>
      <c r="F86" s="28">
        <f t="shared" si="14"/>
        <v>0.90685205930739943</v>
      </c>
    </row>
    <row r="87" spans="1:6">
      <c r="A87">
        <f t="shared" si="15"/>
        <v>0.19999999999999463</v>
      </c>
      <c r="B87">
        <f t="shared" si="10"/>
        <v>0.81696028114932395</v>
      </c>
      <c r="C87">
        <f t="shared" si="11"/>
        <v>0.39104269397545627</v>
      </c>
      <c r="D87">
        <f t="shared" si="12"/>
        <v>0.19999999999999463</v>
      </c>
      <c r="E87">
        <f t="shared" si="13"/>
        <v>0.39104269397545627</v>
      </c>
      <c r="F87" s="28">
        <f t="shared" si="14"/>
        <v>0.93526259577538584</v>
      </c>
    </row>
    <row r="88" spans="1:6">
      <c r="A88">
        <f t="shared" si="15"/>
        <v>0.24999999999999462</v>
      </c>
      <c r="B88">
        <f t="shared" si="10"/>
        <v>0.866960281149324</v>
      </c>
      <c r="C88">
        <f t="shared" si="11"/>
        <v>0.38666811680284968</v>
      </c>
      <c r="D88">
        <f t="shared" si="12"/>
        <v>0.24999999999999462</v>
      </c>
      <c r="E88">
        <f t="shared" si="13"/>
        <v>0.38666811680284968</v>
      </c>
      <c r="F88" s="28">
        <f t="shared" si="14"/>
        <v>0.9645631986815687</v>
      </c>
    </row>
    <row r="89" spans="1:6">
      <c r="A89">
        <f t="shared" si="15"/>
        <v>0.2999999999999946</v>
      </c>
      <c r="B89">
        <f t="shared" si="10"/>
        <v>0.91696028114932393</v>
      </c>
      <c r="C89">
        <f t="shared" si="11"/>
        <v>0.38138781546052464</v>
      </c>
      <c r="D89">
        <f t="shared" si="12"/>
        <v>0.2999999999999946</v>
      </c>
      <c r="E89">
        <f t="shared" si="13"/>
        <v>0.38138781546052464</v>
      </c>
      <c r="F89" s="28">
        <f t="shared" si="14"/>
        <v>0.99478175268998092</v>
      </c>
    </row>
    <row r="90" spans="1:6">
      <c r="A90">
        <f t="shared" si="15"/>
        <v>0.34999999999999459</v>
      </c>
      <c r="B90">
        <f t="shared" si="10"/>
        <v>0.96696028114932386</v>
      </c>
      <c r="C90">
        <f t="shared" si="11"/>
        <v>0.37524034691693858</v>
      </c>
      <c r="D90">
        <f t="shared" si="12"/>
        <v>0.34999999999999459</v>
      </c>
      <c r="E90">
        <f t="shared" si="13"/>
        <v>0.37524034691693858</v>
      </c>
      <c r="F90" s="28">
        <f t="shared" si="14"/>
        <v>1.0259470160561701</v>
      </c>
    </row>
    <row r="91" spans="1:6">
      <c r="A91">
        <f t="shared" si="15"/>
        <v>0.39999999999999458</v>
      </c>
      <c r="B91">
        <f t="shared" si="10"/>
        <v>1.0169602811493239</v>
      </c>
      <c r="C91">
        <f t="shared" si="11"/>
        <v>0.36827014030332406</v>
      </c>
      <c r="D91">
        <f t="shared" si="12"/>
        <v>0.39999999999999458</v>
      </c>
      <c r="E91">
        <f t="shared" si="13"/>
        <v>0.36827014030332406</v>
      </c>
      <c r="F91" s="28">
        <f t="shared" si="14"/>
        <v>1.058088647995725</v>
      </c>
    </row>
    <row r="92" spans="1:6">
      <c r="A92">
        <f t="shared" si="15"/>
        <v>0.44999999999999457</v>
      </c>
      <c r="B92">
        <f t="shared" si="10"/>
        <v>1.066960281149324</v>
      </c>
      <c r="C92">
        <f t="shared" si="11"/>
        <v>0.36052696246164878</v>
      </c>
      <c r="D92">
        <f t="shared" si="12"/>
        <v>0.44999999999999457</v>
      </c>
      <c r="E92">
        <f t="shared" si="13"/>
        <v>0.36052696246164878</v>
      </c>
      <c r="F92" s="28">
        <f t="shared" si="14"/>
        <v>1.0912372369102208</v>
      </c>
    </row>
    <row r="93" spans="1:6">
      <c r="A93">
        <f t="shared" si="15"/>
        <v>0.49999999999999456</v>
      </c>
      <c r="B93">
        <f t="shared" si="10"/>
        <v>1.116960281149324</v>
      </c>
      <c r="C93">
        <f t="shared" si="11"/>
        <v>0.35206532676430041</v>
      </c>
      <c r="D93">
        <f t="shared" si="12"/>
        <v>0.49999999999999456</v>
      </c>
      <c r="E93">
        <f t="shared" si="13"/>
        <v>0.35206532676430041</v>
      </c>
      <c r="F93" s="28">
        <f t="shared" si="14"/>
        <v>1.1254243294974513</v>
      </c>
    </row>
    <row r="94" spans="1:6">
      <c r="A94">
        <f t="shared" si="15"/>
        <v>0.5499999999999946</v>
      </c>
      <c r="B94">
        <f t="shared" si="10"/>
        <v>1.1669602811493238</v>
      </c>
      <c r="C94">
        <f t="shared" si="11"/>
        <v>0.3429438550193849</v>
      </c>
      <c r="D94">
        <f t="shared" si="12"/>
        <v>0.5499999999999946</v>
      </c>
      <c r="E94">
        <f t="shared" si="13"/>
        <v>0.3429438550193849</v>
      </c>
      <c r="F94" s="28">
        <f t="shared" si="14"/>
        <v>1.1606824607736448</v>
      </c>
    </row>
    <row r="95" spans="1:6">
      <c r="A95">
        <f t="shared" si="15"/>
        <v>0.59999999999999465</v>
      </c>
      <c r="B95">
        <f t="shared" si="10"/>
        <v>1.2169602811493241</v>
      </c>
      <c r="C95">
        <f t="shared" si="11"/>
        <v>0.33322460289180067</v>
      </c>
      <c r="D95">
        <f t="shared" si="12"/>
        <v>0.59999999999999465</v>
      </c>
      <c r="E95">
        <f t="shared" si="13"/>
        <v>0.33322460289180067</v>
      </c>
      <c r="F95" s="28">
        <f t="shared" si="14"/>
        <v>1.1970451850362405</v>
      </c>
    </row>
    <row r="96" spans="1:6">
      <c r="A96">
        <f t="shared" si="15"/>
        <v>0.64999999999999469</v>
      </c>
      <c r="B96">
        <f t="shared" si="10"/>
        <v>1.2669602811493239</v>
      </c>
      <c r="C96">
        <f t="shared" si="11"/>
        <v>0.32297235966791538</v>
      </c>
      <c r="D96">
        <f t="shared" si="12"/>
        <v>0.64999999999999469</v>
      </c>
      <c r="E96">
        <f t="shared" si="13"/>
        <v>0.32297235966791538</v>
      </c>
      <c r="F96" s="28">
        <f t="shared" si="14"/>
        <v>1.234547107796689</v>
      </c>
    </row>
    <row r="97" spans="1:6">
      <c r="A97">
        <f t="shared" si="15"/>
        <v>0.69999999999999474</v>
      </c>
      <c r="B97">
        <f t="shared" si="10"/>
        <v>1.3169602811493242</v>
      </c>
      <c r="C97">
        <f t="shared" si="11"/>
        <v>0.31225393336676238</v>
      </c>
      <c r="D97">
        <f t="shared" si="12"/>
        <v>0.69999999999999474</v>
      </c>
      <c r="E97">
        <f t="shared" si="13"/>
        <v>0.31225393336676238</v>
      </c>
      <c r="F97" s="28">
        <f t="shared" si="14"/>
        <v>1.2732239187136678</v>
      </c>
    </row>
    <row r="98" spans="1:6">
      <c r="A98">
        <f t="shared" si="15"/>
        <v>0.74999999999999478</v>
      </c>
      <c r="B98">
        <f t="shared" si="10"/>
        <v>1.366960281149324</v>
      </c>
      <c r="C98">
        <f t="shared" si="11"/>
        <v>0.3011374321548056</v>
      </c>
      <c r="D98">
        <f t="shared" si="12"/>
        <v>0.74999999999999478</v>
      </c>
      <c r="E98">
        <f t="shared" si="13"/>
        <v>0.30113743215480554</v>
      </c>
      <c r="F98" s="28">
        <f t="shared" si="14"/>
        <v>1.3131124255580522</v>
      </c>
    </row>
    <row r="99" spans="1:6">
      <c r="A99">
        <f t="shared" si="15"/>
        <v>0.79999999999999483</v>
      </c>
      <c r="B99">
        <f t="shared" si="10"/>
        <v>1.4169602811493243</v>
      </c>
      <c r="C99">
        <f t="shared" si="11"/>
        <v>0.28969155276148389</v>
      </c>
      <c r="D99">
        <f t="shared" si="12"/>
        <v>0.79999999999999483</v>
      </c>
      <c r="E99">
        <f t="shared" si="13"/>
        <v>0.28969155276148389</v>
      </c>
      <c r="F99" s="28">
        <f t="shared" si="14"/>
        <v>1.3542505892419674</v>
      </c>
    </row>
    <row r="100" spans="1:6">
      <c r="A100">
        <f t="shared" si="15"/>
        <v>0.84999999999999487</v>
      </c>
      <c r="B100">
        <f t="shared" ref="B100:B131" si="16">+(A100+B$3)/C$3</f>
        <v>1.4669602811493241</v>
      </c>
      <c r="C100">
        <f t="shared" ref="C100:C131" si="17">NORMDIST(B100,B$3,C$3,FALSE)</f>
        <v>0.2779848861309977</v>
      </c>
      <c r="D100">
        <f t="shared" ref="D100:D131" si="18">+(A100+D$3)/E$3</f>
        <v>0.84999999999999487</v>
      </c>
      <c r="E100">
        <f t="shared" ref="E100:E131" si="19">NORMDIST(D100,D$3,E$3,FALSE)</f>
        <v>0.27798488613099764</v>
      </c>
      <c r="F100" s="28">
        <f t="shared" si="14"/>
        <v>1.396677559945255</v>
      </c>
    </row>
    <row r="101" spans="1:6">
      <c r="A101">
        <f t="shared" si="15"/>
        <v>0.89999999999999492</v>
      </c>
      <c r="B101">
        <f t="shared" si="16"/>
        <v>1.5169602811493244</v>
      </c>
      <c r="C101">
        <f t="shared" si="17"/>
        <v>0.26608524989875598</v>
      </c>
      <c r="D101">
        <f t="shared" si="18"/>
        <v>0.89999999999999492</v>
      </c>
      <c r="E101">
        <f t="shared" si="19"/>
        <v>0.26608524989875604</v>
      </c>
      <c r="F101" s="28">
        <f t="shared" si="14"/>
        <v>1.4404337143737389</v>
      </c>
    </row>
    <row r="102" spans="1:6">
      <c r="A102">
        <f t="shared" si="15"/>
        <v>0.94999999999999496</v>
      </c>
      <c r="B102">
        <f t="shared" si="16"/>
        <v>1.5669602811493242</v>
      </c>
      <c r="C102">
        <f t="shared" si="17"/>
        <v>0.25405905646919025</v>
      </c>
      <c r="D102">
        <f t="shared" si="18"/>
        <v>0.94999999999999496</v>
      </c>
      <c r="E102">
        <f t="shared" si="19"/>
        <v>0.25405905646919019</v>
      </c>
      <c r="F102" s="28">
        <f t="shared" si="14"/>
        <v>1.4855606941847428</v>
      </c>
    </row>
    <row r="103" spans="1:6">
      <c r="A103">
        <f t="shared" si="15"/>
        <v>0.999999999999995</v>
      </c>
      <c r="B103">
        <f t="shared" si="16"/>
        <v>1.6169602811493244</v>
      </c>
      <c r="C103">
        <f t="shared" si="17"/>
        <v>0.24197072451914453</v>
      </c>
      <c r="D103">
        <f t="shared" si="18"/>
        <v>0.999999999999995</v>
      </c>
      <c r="E103">
        <f t="shared" si="19"/>
        <v>0.24197072451914453</v>
      </c>
      <c r="F103" s="28">
        <f t="shared" si="14"/>
        <v>1.5321014456164339</v>
      </c>
    </row>
    <row r="104" spans="1:6">
      <c r="A104">
        <f t="shared" si="15"/>
        <v>1.0499999999999949</v>
      </c>
      <c r="B104">
        <f t="shared" si="16"/>
        <v>1.6669602811493243</v>
      </c>
      <c r="C104">
        <f t="shared" si="17"/>
        <v>0.22988214068423421</v>
      </c>
      <c r="D104">
        <f t="shared" si="18"/>
        <v>1.0499999999999949</v>
      </c>
      <c r="E104">
        <f t="shared" si="19"/>
        <v>0.22988214068423421</v>
      </c>
      <c r="F104" s="28">
        <f t="shared" si="14"/>
        <v>1.5801002603587024</v>
      </c>
    </row>
    <row r="105" spans="1:6">
      <c r="A105">
        <f t="shared" si="15"/>
        <v>1.099999999999995</v>
      </c>
      <c r="B105">
        <f t="shared" si="16"/>
        <v>1.7169602811493243</v>
      </c>
      <c r="C105">
        <f t="shared" si="17"/>
        <v>0.21785217703255175</v>
      </c>
      <c r="D105">
        <f t="shared" si="18"/>
        <v>1.099999999999995</v>
      </c>
      <c r="E105">
        <f t="shared" si="19"/>
        <v>0.21785217703255175</v>
      </c>
      <c r="F105" s="28">
        <f t="shared" si="14"/>
        <v>1.6296028177044743</v>
      </c>
    </row>
    <row r="106" spans="1:6">
      <c r="A106">
        <f t="shared" si="15"/>
        <v>1.149999999999995</v>
      </c>
      <c r="B106">
        <f t="shared" si="16"/>
        <v>1.7669602811493244</v>
      </c>
      <c r="C106">
        <f t="shared" si="17"/>
        <v>0.20593626871997592</v>
      </c>
      <c r="D106">
        <f t="shared" si="18"/>
        <v>1.149999999999995</v>
      </c>
      <c r="E106">
        <f t="shared" si="19"/>
        <v>0.20593626871997592</v>
      </c>
      <c r="F106" s="28">
        <f t="shared" si="14"/>
        <v>1.6806562280215731</v>
      </c>
    </row>
    <row r="107" spans="1:6">
      <c r="A107">
        <f t="shared" si="15"/>
        <v>1.1999999999999951</v>
      </c>
      <c r="B107">
        <f t="shared" si="16"/>
        <v>1.8169602811493244</v>
      </c>
      <c r="C107">
        <f t="shared" si="17"/>
        <v>0.19418605498321406</v>
      </c>
      <c r="D107">
        <f t="shared" si="18"/>
        <v>1.1999999999999951</v>
      </c>
      <c r="E107">
        <f t="shared" si="19"/>
        <v>0.19418605498321406</v>
      </c>
      <c r="F107" s="28">
        <f t="shared" si="14"/>
        <v>1.7333090775864988</v>
      </c>
    </row>
    <row r="108" spans="1:6">
      <c r="A108">
        <f t="shared" si="15"/>
        <v>1.2499999999999951</v>
      </c>
      <c r="B108">
        <f t="shared" si="16"/>
        <v>1.8669602811493244</v>
      </c>
      <c r="C108">
        <f t="shared" si="17"/>
        <v>0.182649085389023</v>
      </c>
      <c r="D108">
        <f t="shared" si="18"/>
        <v>1.2499999999999951</v>
      </c>
      <c r="E108">
        <f t="shared" si="19"/>
        <v>0.182649085389023</v>
      </c>
      <c r="F108" s="28">
        <f t="shared" si="14"/>
        <v>1.7876114748227947</v>
      </c>
    </row>
    <row r="109" spans="1:6">
      <c r="A109">
        <f t="shared" si="15"/>
        <v>1.2999999999999952</v>
      </c>
      <c r="B109">
        <f t="shared" si="16"/>
        <v>1.9169602811493245</v>
      </c>
      <c r="C109">
        <f t="shared" si="17"/>
        <v>0.17136859204780841</v>
      </c>
      <c r="D109">
        <f t="shared" si="18"/>
        <v>1.2999999999999952</v>
      </c>
      <c r="E109">
        <f t="shared" si="19"/>
        <v>0.17136859204780841</v>
      </c>
      <c r="F109" s="28">
        <f t="shared" si="14"/>
        <v>1.8436150979880024</v>
      </c>
    </row>
    <row r="110" spans="1:6">
      <c r="A110">
        <f t="shared" si="15"/>
        <v>1.3499999999999952</v>
      </c>
      <c r="B110">
        <f t="shared" si="16"/>
        <v>1.9669602811493245</v>
      </c>
      <c r="C110">
        <f t="shared" si="17"/>
        <v>0.16038332734192062</v>
      </c>
      <c r="D110">
        <f t="shared" si="18"/>
        <v>1.3499999999999952</v>
      </c>
      <c r="E110">
        <f t="shared" si="19"/>
        <v>0.16038332734192062</v>
      </c>
      <c r="F110" s="28">
        <f t="shared" si="14"/>
        <v>1.9013732443545905</v>
      </c>
    </row>
    <row r="111" spans="1:6">
      <c r="A111">
        <f t="shared" si="15"/>
        <v>1.3999999999999952</v>
      </c>
      <c r="B111">
        <f t="shared" si="16"/>
        <v>2.0169602811493244</v>
      </c>
      <c r="C111">
        <f t="shared" si="17"/>
        <v>0.1497274656357459</v>
      </c>
      <c r="D111">
        <f t="shared" si="18"/>
        <v>1.3999999999999952</v>
      </c>
      <c r="E111">
        <f t="shared" si="19"/>
        <v>0.14972746563574585</v>
      </c>
      <c r="F111" s="28">
        <f t="shared" si="14"/>
        <v>1.9609408809316595</v>
      </c>
    </row>
    <row r="112" spans="1:6">
      <c r="A112">
        <f t="shared" si="15"/>
        <v>1.4499999999999953</v>
      </c>
      <c r="B112">
        <f t="shared" si="16"/>
        <v>2.0669602811493246</v>
      </c>
      <c r="C112">
        <f t="shared" si="17"/>
        <v>0.1394305664453612</v>
      </c>
      <c r="D112">
        <f t="shared" si="18"/>
        <v>1.4499999999999953</v>
      </c>
      <c r="E112">
        <f t="shared" si="19"/>
        <v>0.1394305664453612</v>
      </c>
      <c r="F112" s="28">
        <f t="shared" si="14"/>
        <v>2.0223746967756946</v>
      </c>
    </row>
    <row r="113" spans="1:6">
      <c r="A113">
        <f t="shared" si="15"/>
        <v>1.4999999999999953</v>
      </c>
      <c r="B113">
        <f t="shared" si="16"/>
        <v>2.1169602811493249</v>
      </c>
      <c r="C113">
        <f t="shared" si="17"/>
        <v>0.12951759566589258</v>
      </c>
      <c r="D113">
        <f t="shared" si="18"/>
        <v>1.4999999999999953</v>
      </c>
      <c r="E113">
        <f t="shared" si="19"/>
        <v>0.12951759566589263</v>
      </c>
      <c r="F113" s="28">
        <f t="shared" si="14"/>
        <v>2.0857331569401465</v>
      </c>
    </row>
    <row r="114" spans="1:6">
      <c r="A114">
        <f t="shared" si="15"/>
        <v>1.5499999999999954</v>
      </c>
      <c r="B114">
        <f t="shared" si="16"/>
        <v>2.1669602811493247</v>
      </c>
      <c r="C114">
        <f t="shared" si="17"/>
        <v>0.12000900069698645</v>
      </c>
      <c r="D114">
        <f t="shared" si="18"/>
        <v>1.5499999999999954</v>
      </c>
      <c r="E114">
        <f t="shared" si="19"/>
        <v>0.12000900069698645</v>
      </c>
      <c r="F114" s="28">
        <f t="shared" si="14"/>
        <v>2.1510765581151889</v>
      </c>
    </row>
    <row r="115" spans="1:6">
      <c r="A115">
        <f t="shared" si="15"/>
        <v>1.5999999999999954</v>
      </c>
      <c r="B115">
        <f t="shared" si="16"/>
        <v>2.2169602811493245</v>
      </c>
      <c r="C115">
        <f t="shared" si="17"/>
        <v>0.11092083467945642</v>
      </c>
      <c r="D115">
        <f t="shared" si="18"/>
        <v>1.5999999999999954</v>
      </c>
      <c r="E115">
        <f t="shared" si="19"/>
        <v>0.11092083467945635</v>
      </c>
      <c r="F115" s="28">
        <f t="shared" si="14"/>
        <v>2.2184670860105959</v>
      </c>
    </row>
    <row r="116" spans="1:6">
      <c r="A116">
        <f t="shared" si="15"/>
        <v>1.6499999999999955</v>
      </c>
      <c r="B116">
        <f t="shared" si="16"/>
        <v>2.2669602811493248</v>
      </c>
      <c r="C116">
        <f t="shared" si="17"/>
        <v>0.10226492456397877</v>
      </c>
      <c r="D116">
        <f t="shared" si="18"/>
        <v>1.6499999999999955</v>
      </c>
      <c r="E116">
        <f t="shared" si="19"/>
        <v>0.10226492456397877</v>
      </c>
      <c r="F116" s="28">
        <f t="shared" si="14"/>
        <v>2.2879688745363547</v>
      </c>
    </row>
    <row r="117" spans="1:6">
      <c r="A117">
        <f t="shared" si="15"/>
        <v>1.6999999999999955</v>
      </c>
      <c r="B117">
        <f t="shared" si="16"/>
        <v>2.3169602811493251</v>
      </c>
      <c r="C117">
        <f t="shared" si="17"/>
        <v>9.4049077376887599E-2</v>
      </c>
      <c r="D117">
        <f t="shared" si="18"/>
        <v>1.6999999999999955</v>
      </c>
      <c r="E117">
        <f t="shared" si="19"/>
        <v>9.4049077376887641E-2</v>
      </c>
      <c r="F117" s="28">
        <f t="shared" si="14"/>
        <v>2.359648066837333</v>
      </c>
    </row>
    <row r="118" spans="1:6">
      <c r="A118">
        <f t="shared" si="15"/>
        <v>1.7499999999999956</v>
      </c>
      <c r="B118">
        <f t="shared" si="16"/>
        <v>2.3669602811493249</v>
      </c>
      <c r="C118">
        <f t="shared" si="17"/>
        <v>8.6277318826512184E-2</v>
      </c>
      <c r="D118">
        <f t="shared" si="18"/>
        <v>1.7499999999999956</v>
      </c>
      <c r="E118">
        <f t="shared" si="19"/>
        <v>8.6277318826512184E-2</v>
      </c>
      <c r="F118" s="28">
        <f t="shared" si="14"/>
        <v>2.4335728782400841</v>
      </c>
    </row>
    <row r="119" spans="1:6">
      <c r="A119">
        <f t="shared" si="15"/>
        <v>1.7999999999999956</v>
      </c>
      <c r="B119">
        <f t="shared" si="16"/>
        <v>2.4169602811493247</v>
      </c>
      <c r="C119">
        <f t="shared" si="17"/>
        <v>7.8950158300894802E-2</v>
      </c>
      <c r="D119">
        <f t="shared" si="18"/>
        <v>1.7999999999999956</v>
      </c>
      <c r="E119">
        <f t="shared" si="19"/>
        <v>7.8950158300894774E-2</v>
      </c>
      <c r="F119" s="28">
        <f t="shared" si="14"/>
        <v>2.5098136611716986</v>
      </c>
    </row>
    <row r="120" spans="1:6">
      <c r="A120">
        <f t="shared" si="15"/>
        <v>1.8499999999999956</v>
      </c>
      <c r="B120">
        <f t="shared" si="16"/>
        <v>2.466960281149325</v>
      </c>
      <c r="C120">
        <f t="shared" si="17"/>
        <v>7.2064874336218568E-2</v>
      </c>
      <c r="D120">
        <f t="shared" si="18"/>
        <v>1.8499999999999956</v>
      </c>
      <c r="E120">
        <f t="shared" si="19"/>
        <v>7.2064874336218568E-2</v>
      </c>
      <c r="F120" s="28">
        <f t="shared" si="14"/>
        <v>2.5884429721124795</v>
      </c>
    </row>
    <row r="121" spans="1:6">
      <c r="A121">
        <f t="shared" si="15"/>
        <v>1.8999999999999957</v>
      </c>
      <c r="B121">
        <f t="shared" si="16"/>
        <v>2.5169602811493252</v>
      </c>
      <c r="C121">
        <f t="shared" si="17"/>
        <v>6.5615814774677095E-2</v>
      </c>
      <c r="D121">
        <f t="shared" si="18"/>
        <v>1.8999999999999957</v>
      </c>
      <c r="E121">
        <f t="shared" si="19"/>
        <v>6.5615814774677136E-2</v>
      </c>
      <c r="F121" s="28">
        <f t="shared" si="14"/>
        <v>2.6695356406461648</v>
      </c>
    </row>
    <row r="122" spans="1:6">
      <c r="A122">
        <f t="shared" si="15"/>
        <v>1.9499999999999957</v>
      </c>
      <c r="B122">
        <f t="shared" si="16"/>
        <v>2.5669602811493251</v>
      </c>
      <c r="C122">
        <f t="shared" si="17"/>
        <v>5.9594706068816568E-2</v>
      </c>
      <c r="D122">
        <f t="shared" si="18"/>
        <v>1.9499999999999957</v>
      </c>
      <c r="E122">
        <f t="shared" si="19"/>
        <v>5.9594706068816568E-2</v>
      </c>
      <c r="F122" s="28">
        <f t="shared" si="14"/>
        <v>2.7531688406734021</v>
      </c>
    </row>
    <row r="123" spans="1:6">
      <c r="A123">
        <f t="shared" si="15"/>
        <v>1.9999999999999958</v>
      </c>
      <c r="B123">
        <f t="shared" si="16"/>
        <v>2.6169602811493249</v>
      </c>
      <c r="C123">
        <f t="shared" si="17"/>
        <v>5.3990966513188528E-2</v>
      </c>
      <c r="D123">
        <f t="shared" si="18"/>
        <v>1.9999999999999958</v>
      </c>
      <c r="E123">
        <f t="shared" si="19"/>
        <v>5.3990966513188507E-2</v>
      </c>
      <c r="F123" s="28">
        <f t="shared" si="14"/>
        <v>2.8394221638562542</v>
      </c>
    </row>
    <row r="124" spans="1:6">
      <c r="A124">
        <f t="shared" si="15"/>
        <v>2.0499999999999958</v>
      </c>
      <c r="B124">
        <f t="shared" si="16"/>
        <v>2.6669602811493252</v>
      </c>
      <c r="C124">
        <f t="shared" si="17"/>
        <v>4.8792018579183173E-2</v>
      </c>
      <c r="D124">
        <f t="shared" si="18"/>
        <v>2.0499999999999958</v>
      </c>
      <c r="E124">
        <f t="shared" si="19"/>
        <v>4.8792018579183173E-2</v>
      </c>
      <c r="F124" s="28">
        <f t="shared" si="14"/>
        <v>2.9283776953636291</v>
      </c>
    </row>
    <row r="125" spans="1:6">
      <c r="A125">
        <f t="shared" si="15"/>
        <v>2.0999999999999956</v>
      </c>
      <c r="B125">
        <f t="shared" si="16"/>
        <v>2.716960281149325</v>
      </c>
      <c r="C125">
        <f t="shared" si="17"/>
        <v>4.3983595980427594E-2</v>
      </c>
      <c r="D125">
        <f t="shared" si="18"/>
        <v>2.0999999999999956</v>
      </c>
      <c r="E125">
        <f t="shared" si="19"/>
        <v>4.3983595980427594E-2</v>
      </c>
      <c r="F125" s="28">
        <f t="shared" si="14"/>
        <v>3.0201200919897202</v>
      </c>
    </row>
    <row r="126" spans="1:6">
      <c r="A126">
        <f t="shared" si="15"/>
        <v>2.1499999999999955</v>
      </c>
      <c r="B126">
        <f t="shared" si="16"/>
        <v>2.7669602811493248</v>
      </c>
      <c r="C126">
        <f t="shared" si="17"/>
        <v>3.9550041589370588E-2</v>
      </c>
      <c r="D126">
        <f t="shared" si="18"/>
        <v>2.1499999999999955</v>
      </c>
      <c r="E126">
        <f t="shared" si="19"/>
        <v>3.9550041589370588E-2</v>
      </c>
      <c r="F126" s="28">
        <f t="shared" si="14"/>
        <v>3.1147366627197943</v>
      </c>
    </row>
    <row r="127" spans="1:6">
      <c r="A127">
        <f t="shared" si="15"/>
        <v>2.1999999999999953</v>
      </c>
      <c r="B127">
        <f t="shared" si="16"/>
        <v>2.8169602811493246</v>
      </c>
      <c r="C127">
        <f t="shared" si="17"/>
        <v>3.5474592846231792E-2</v>
      </c>
      <c r="D127">
        <f t="shared" si="18"/>
        <v>2.1999999999999953</v>
      </c>
      <c r="E127">
        <f t="shared" si="19"/>
        <v>3.5474592846231792E-2</v>
      </c>
      <c r="F127" s="28">
        <f t="shared" si="14"/>
        <v>3.2123174518200135</v>
      </c>
    </row>
    <row r="128" spans="1:6">
      <c r="A128">
        <f t="shared" si="15"/>
        <v>2.2499999999999951</v>
      </c>
      <c r="B128">
        <f t="shared" si="16"/>
        <v>2.8669602811493244</v>
      </c>
      <c r="C128">
        <f t="shared" si="17"/>
        <v>3.1739651835667765E-2</v>
      </c>
      <c r="D128">
        <f t="shared" si="18"/>
        <v>2.2499999999999951</v>
      </c>
      <c r="E128">
        <f t="shared" si="19"/>
        <v>3.1739651835667765E-2</v>
      </c>
      <c r="F128" s="28">
        <f t="shared" si="14"/>
        <v>3.3129553245303467</v>
      </c>
    </row>
    <row r="129" spans="1:6">
      <c r="A129">
        <f t="shared" si="15"/>
        <v>2.2999999999999949</v>
      </c>
      <c r="B129">
        <f t="shared" si="16"/>
        <v>2.9169602811493243</v>
      </c>
      <c r="C129">
        <f t="shared" si="17"/>
        <v>2.8327037741601498E-2</v>
      </c>
      <c r="D129">
        <f t="shared" si="18"/>
        <v>2.2999999999999949</v>
      </c>
      <c r="E129">
        <f t="shared" si="19"/>
        <v>2.8327037741601498E-2</v>
      </c>
      <c r="F129" s="28">
        <f t="shared" si="14"/>
        <v>3.4167460554421396</v>
      </c>
    </row>
    <row r="130" spans="1:6">
      <c r="A130">
        <f t="shared" si="15"/>
        <v>2.3499999999999948</v>
      </c>
      <c r="B130">
        <f t="shared" si="16"/>
        <v>2.9669602811493241</v>
      </c>
      <c r="C130">
        <f t="shared" si="17"/>
        <v>2.5218219915194701E-2</v>
      </c>
      <c r="D130">
        <f t="shared" si="18"/>
        <v>2.3499999999999948</v>
      </c>
      <c r="E130">
        <f t="shared" si="19"/>
        <v>2.5218219915194701E-2</v>
      </c>
      <c r="F130" s="28">
        <f t="shared" si="14"/>
        <v>3.5237884196444385</v>
      </c>
    </row>
    <row r="131" spans="1:6">
      <c r="A131">
        <f t="shared" si="15"/>
        <v>2.3999999999999946</v>
      </c>
      <c r="B131">
        <f t="shared" si="16"/>
        <v>3.0169602811493239</v>
      </c>
      <c r="C131">
        <f t="shared" si="17"/>
        <v>2.2394530294843187E-2</v>
      </c>
      <c r="D131">
        <f t="shared" si="18"/>
        <v>2.3999999999999946</v>
      </c>
      <c r="E131">
        <f t="shared" si="19"/>
        <v>2.2394530294843187E-2</v>
      </c>
      <c r="F131" s="28">
        <f t="shared" si="14"/>
        <v>3.6341842867258194</v>
      </c>
    </row>
    <row r="132" spans="1:6">
      <c r="A132">
        <f t="shared" si="15"/>
        <v>2.4499999999999944</v>
      </c>
      <c r="B132">
        <f t="shared" ref="B132:B163" si="20">+(A132+B$3)/C$3</f>
        <v>3.0669602811493237</v>
      </c>
      <c r="C132">
        <f t="shared" ref="C132:C163" si="21">NORMDIST(B132,B$3,C$3,FALSE)</f>
        <v>1.9837354391795591E-2</v>
      </c>
      <c r="D132">
        <f t="shared" ref="D132:D163" si="22">+(A132+D$3)/E$3</f>
        <v>2.4499999999999944</v>
      </c>
      <c r="E132">
        <f t="shared" ref="E132:E163" si="23">NORMDIST(D132,D$3,E$3,FALSE)</f>
        <v>1.9837354391795591E-2</v>
      </c>
      <c r="F132" s="28">
        <f t="shared" si="14"/>
        <v>3.748038717721172</v>
      </c>
    </row>
    <row r="133" spans="1:6">
      <c r="A133">
        <f t="shared" si="15"/>
        <v>2.4999999999999942</v>
      </c>
      <c r="B133">
        <f t="shared" si="20"/>
        <v>3.1169602811493236</v>
      </c>
      <c r="C133">
        <f t="shared" si="21"/>
        <v>1.7528300493568787E-2</v>
      </c>
      <c r="D133">
        <f t="shared" si="22"/>
        <v>2.4999999999999942</v>
      </c>
      <c r="E133">
        <f t="shared" si="23"/>
        <v>1.7528300493568787E-2</v>
      </c>
      <c r="F133" s="28">
        <f t="shared" ref="F133:F163" si="24">+EXP(A133*B$3-(B$3^2)/2)</f>
        <v>3.8654600650957018</v>
      </c>
    </row>
    <row r="134" spans="1:6">
      <c r="A134">
        <f t="shared" si="15"/>
        <v>2.549999999999994</v>
      </c>
      <c r="B134">
        <f t="shared" si="20"/>
        <v>3.1669602811493234</v>
      </c>
      <c r="C134">
        <f t="shared" si="21"/>
        <v>1.5449347134395407E-2</v>
      </c>
      <c r="D134">
        <f t="shared" si="22"/>
        <v>2.549999999999994</v>
      </c>
      <c r="E134">
        <f t="shared" si="23"/>
        <v>1.5449347134395407E-2</v>
      </c>
      <c r="F134" s="28">
        <f t="shared" si="24"/>
        <v>3.9865600758613171</v>
      </c>
    </row>
    <row r="135" spans="1:6">
      <c r="A135">
        <f t="shared" ref="A135:A163" si="25">+A134+0.05</f>
        <v>2.5999999999999939</v>
      </c>
      <c r="B135">
        <f t="shared" si="20"/>
        <v>3.2169602811493232</v>
      </c>
      <c r="C135">
        <f t="shared" si="21"/>
        <v>1.3582969233685837E-2</v>
      </c>
      <c r="D135">
        <f t="shared" si="22"/>
        <v>2.5999999999999939</v>
      </c>
      <c r="E135">
        <f t="shared" si="23"/>
        <v>1.3582969233685837E-2</v>
      </c>
      <c r="F135" s="28">
        <f t="shared" si="24"/>
        <v>4.1114539979235092</v>
      </c>
    </row>
    <row r="136" spans="1:6">
      <c r="A136">
        <f t="shared" si="25"/>
        <v>2.6499999999999937</v>
      </c>
      <c r="B136">
        <f t="shared" si="20"/>
        <v>3.266960281149323</v>
      </c>
      <c r="C136">
        <f t="shared" si="21"/>
        <v>1.1912243607605379E-2</v>
      </c>
      <c r="D136">
        <f t="shared" si="22"/>
        <v>2.6499999999999937</v>
      </c>
      <c r="E136">
        <f t="shared" si="23"/>
        <v>1.1912243607605379E-2</v>
      </c>
      <c r="F136" s="28">
        <f t="shared" si="24"/>
        <v>4.2402606897599551</v>
      </c>
    </row>
    <row r="137" spans="1:6">
      <c r="A137">
        <f t="shared" si="25"/>
        <v>2.6999999999999935</v>
      </c>
      <c r="B137">
        <f t="shared" si="20"/>
        <v>3.3169602811493228</v>
      </c>
      <c r="C137">
        <f t="shared" si="21"/>
        <v>1.0420934814422775E-2</v>
      </c>
      <c r="D137">
        <f t="shared" si="22"/>
        <v>2.6999999999999935</v>
      </c>
      <c r="E137">
        <f t="shared" si="23"/>
        <v>1.0420934814422775E-2</v>
      </c>
      <c r="F137" s="28">
        <f t="shared" si="24"/>
        <v>4.3731027335352106</v>
      </c>
    </row>
    <row r="138" spans="1:6">
      <c r="A138">
        <f t="shared" si="25"/>
        <v>2.7499999999999933</v>
      </c>
      <c r="B138">
        <f t="shared" si="20"/>
        <v>3.3669602811493227</v>
      </c>
      <c r="C138">
        <f t="shared" si="21"/>
        <v>9.0935625015912177E-3</v>
      </c>
      <c r="D138">
        <f t="shared" si="22"/>
        <v>2.7499999999999933</v>
      </c>
      <c r="E138">
        <f t="shared" si="23"/>
        <v>9.0935625015912177E-3</v>
      </c>
      <c r="F138" s="28">
        <f t="shared" si="24"/>
        <v>4.5101065517591463</v>
      </c>
    </row>
    <row r="139" spans="1:6">
      <c r="A139">
        <f t="shared" si="25"/>
        <v>2.7999999999999932</v>
      </c>
      <c r="B139">
        <f t="shared" si="20"/>
        <v>3.4169602811493225</v>
      </c>
      <c r="C139">
        <f t="shared" si="21"/>
        <v>7.9154515829801143E-3</v>
      </c>
      <c r="D139">
        <f t="shared" si="22"/>
        <v>2.7999999999999932</v>
      </c>
      <c r="E139">
        <f t="shared" si="23"/>
        <v>7.9154515829801143E-3</v>
      </c>
      <c r="F139" s="28">
        <f t="shared" si="24"/>
        <v>4.6514025276001449</v>
      </c>
    </row>
    <row r="140" spans="1:6">
      <c r="A140">
        <f t="shared" si="25"/>
        <v>2.849999999999993</v>
      </c>
      <c r="B140">
        <f t="shared" si="20"/>
        <v>3.4669602811493223</v>
      </c>
      <c r="C140">
        <f t="shared" si="21"/>
        <v>6.8727666906141108E-3</v>
      </c>
      <c r="D140">
        <f t="shared" si="22"/>
        <v>2.849999999999993</v>
      </c>
      <c r="E140">
        <f t="shared" si="23"/>
        <v>6.8727666906141108E-3</v>
      </c>
      <c r="F140" s="28">
        <f t="shared" si="24"/>
        <v>4.7971251289675561</v>
      </c>
    </row>
    <row r="141" spans="1:6">
      <c r="A141">
        <f t="shared" si="25"/>
        <v>2.8999999999999928</v>
      </c>
      <c r="B141">
        <f t="shared" si="20"/>
        <v>3.5169602811493221</v>
      </c>
      <c r="C141">
        <f t="shared" si="21"/>
        <v>5.9525324197759796E-3</v>
      </c>
      <c r="D141">
        <f t="shared" si="22"/>
        <v>2.8999999999999928</v>
      </c>
      <c r="E141">
        <f t="shared" si="23"/>
        <v>5.9525324197759796E-3</v>
      </c>
      <c r="F141" s="28">
        <f t="shared" si="24"/>
        <v>4.9474130364815068</v>
      </c>
    </row>
    <row r="142" spans="1:6">
      <c r="A142">
        <f t="shared" si="25"/>
        <v>2.9499999999999926</v>
      </c>
      <c r="B142">
        <f t="shared" si="20"/>
        <v>3.566960281149322</v>
      </c>
      <c r="C142">
        <f t="shared" si="21"/>
        <v>5.1426409230540529E-3</v>
      </c>
      <c r="D142">
        <f t="shared" si="22"/>
        <v>2.9499999999999926</v>
      </c>
      <c r="E142">
        <f t="shared" si="23"/>
        <v>5.1426409230540529E-3</v>
      </c>
      <c r="F142" s="28">
        <f t="shared" si="24"/>
        <v>5.1024092754518415</v>
      </c>
    </row>
    <row r="143" spans="1:6">
      <c r="A143">
        <f t="shared" si="25"/>
        <v>2.9999999999999925</v>
      </c>
      <c r="B143">
        <f t="shared" si="20"/>
        <v>3.6169602811493218</v>
      </c>
      <c r="C143">
        <f t="shared" si="21"/>
        <v>4.431848411938109E-3</v>
      </c>
      <c r="D143">
        <f t="shared" si="22"/>
        <v>2.9999999999999925</v>
      </c>
      <c r="E143">
        <f t="shared" si="23"/>
        <v>4.431848411938109E-3</v>
      </c>
      <c r="F143" s="28">
        <f t="shared" si="24"/>
        <v>5.26226135199179</v>
      </c>
    </row>
    <row r="144" spans="1:6">
      <c r="A144">
        <f t="shared" si="25"/>
        <v>3.0499999999999923</v>
      </c>
      <c r="B144">
        <f t="shared" si="20"/>
        <v>3.6669602811493216</v>
      </c>
      <c r="C144">
        <f t="shared" si="21"/>
        <v>3.809762098221898E-3</v>
      </c>
      <c r="D144">
        <f t="shared" si="22"/>
        <v>3.0499999999999923</v>
      </c>
      <c r="E144">
        <f t="shared" si="23"/>
        <v>3.809762098221898E-3</v>
      </c>
      <c r="F144" s="28">
        <f t="shared" si="24"/>
        <v>5.427121393395919</v>
      </c>
    </row>
    <row r="145" spans="1:6">
      <c r="A145">
        <f t="shared" si="25"/>
        <v>3.0999999999999921</v>
      </c>
      <c r="B145">
        <f t="shared" si="20"/>
        <v>3.7169602811493214</v>
      </c>
      <c r="C145">
        <f t="shared" si="21"/>
        <v>3.2668190561999997E-3</v>
      </c>
      <c r="D145">
        <f t="shared" si="22"/>
        <v>3.0999999999999921</v>
      </c>
      <c r="E145">
        <f t="shared" si="23"/>
        <v>3.2668190561999997E-3</v>
      </c>
      <c r="F145" s="28">
        <f t="shared" si="24"/>
        <v>5.5971462929159399</v>
      </c>
    </row>
    <row r="146" spans="1:6">
      <c r="A146">
        <f t="shared" si="25"/>
        <v>3.1499999999999919</v>
      </c>
      <c r="B146">
        <f t="shared" si="20"/>
        <v>3.7669602811493212</v>
      </c>
      <c r="C146">
        <f t="shared" si="21"/>
        <v>2.7942584148795161E-3</v>
      </c>
      <c r="D146">
        <f t="shared" si="22"/>
        <v>3.1499999999999919</v>
      </c>
      <c r="E146">
        <f t="shared" si="23"/>
        <v>2.7942584148795161E-3</v>
      </c>
      <c r="F146" s="28">
        <f t="shared" si="24"/>
        <v>5.772497859072157</v>
      </c>
    </row>
    <row r="147" spans="1:6">
      <c r="A147">
        <f t="shared" si="25"/>
        <v>3.1999999999999917</v>
      </c>
      <c r="B147">
        <f t="shared" si="20"/>
        <v>3.8169602811493211</v>
      </c>
      <c r="C147">
        <f t="shared" si="21"/>
        <v>2.3840882014649059E-3</v>
      </c>
      <c r="D147">
        <f t="shared" si="22"/>
        <v>3.1999999999999917</v>
      </c>
      <c r="E147">
        <f t="shared" si="23"/>
        <v>2.3840882014649059E-3</v>
      </c>
      <c r="F147" s="28">
        <f t="shared" si="24"/>
        <v>5.9533429696426685</v>
      </c>
    </row>
    <row r="148" spans="1:6">
      <c r="A148">
        <f t="shared" si="25"/>
        <v>3.2499999999999916</v>
      </c>
      <c r="B148">
        <f t="shared" si="20"/>
        <v>3.8669602811493209</v>
      </c>
      <c r="C148">
        <f t="shared" si="21"/>
        <v>2.0290480572998236E-3</v>
      </c>
      <c r="D148">
        <f t="shared" si="22"/>
        <v>3.2499999999999916</v>
      </c>
      <c r="E148">
        <f t="shared" si="23"/>
        <v>2.0290480572998236E-3</v>
      </c>
      <c r="F148" s="28">
        <f t="shared" si="24"/>
        <v>6.1398537304768466</v>
      </c>
    </row>
    <row r="149" spans="1:6">
      <c r="A149">
        <f t="shared" si="25"/>
        <v>3.2999999999999914</v>
      </c>
      <c r="B149">
        <f t="shared" si="20"/>
        <v>3.9169602811493207</v>
      </c>
      <c r="C149">
        <f t="shared" si="21"/>
        <v>1.7225689390537287E-3</v>
      </c>
      <c r="D149">
        <f t="shared" si="22"/>
        <v>3.2999999999999914</v>
      </c>
      <c r="E149">
        <f t="shared" si="23"/>
        <v>1.7225689390537287E-3</v>
      </c>
      <c r="F149" s="28">
        <f t="shared" si="24"/>
        <v>6.332207639284241</v>
      </c>
    </row>
    <row r="150" spans="1:6">
      <c r="A150">
        <f t="shared" si="25"/>
        <v>3.3499999999999912</v>
      </c>
      <c r="B150">
        <f t="shared" si="20"/>
        <v>3.9669602811493205</v>
      </c>
      <c r="C150">
        <f t="shared" si="21"/>
        <v>1.4587308046667884E-3</v>
      </c>
      <c r="D150">
        <f t="shared" si="22"/>
        <v>3.3499999999999912</v>
      </c>
      <c r="E150">
        <f t="shared" si="23"/>
        <v>1.4587308046667884E-3</v>
      </c>
      <c r="F150" s="28">
        <f t="shared" si="24"/>
        <v>6.5305877545548023</v>
      </c>
    </row>
    <row r="151" spans="1:6">
      <c r="A151">
        <f t="shared" si="25"/>
        <v>3.399999999999991</v>
      </c>
      <c r="B151">
        <f t="shared" si="20"/>
        <v>4.0169602811493199</v>
      </c>
      <c r="C151">
        <f t="shared" si="21"/>
        <v>1.2322191684730579E-3</v>
      </c>
      <c r="D151">
        <f t="shared" si="22"/>
        <v>3.399999999999991</v>
      </c>
      <c r="E151">
        <f t="shared" si="23"/>
        <v>1.232219168473057E-3</v>
      </c>
      <c r="F151" s="28">
        <f t="shared" si="24"/>
        <v>6.7351828697711342</v>
      </c>
    </row>
    <row r="152" spans="1:6">
      <c r="A152">
        <f t="shared" si="25"/>
        <v>3.4499999999999909</v>
      </c>
      <c r="B152">
        <f t="shared" si="20"/>
        <v>4.0669602811493206</v>
      </c>
      <c r="C152">
        <f t="shared" si="21"/>
        <v>1.0382812956614424E-3</v>
      </c>
      <c r="D152">
        <f t="shared" si="22"/>
        <v>3.4499999999999909</v>
      </c>
      <c r="E152">
        <f t="shared" si="23"/>
        <v>1.0382812956614435E-3</v>
      </c>
      <c r="F152" s="28">
        <f t="shared" si="24"/>
        <v>6.9461876930786213</v>
      </c>
    </row>
    <row r="153" spans="1:6">
      <c r="A153">
        <f t="shared" si="25"/>
        <v>3.4999999999999907</v>
      </c>
      <c r="B153">
        <f t="shared" si="20"/>
        <v>4.1169602811493196</v>
      </c>
      <c r="C153">
        <f t="shared" si="21"/>
        <v>8.7268269504578943E-4</v>
      </c>
      <c r="D153">
        <f t="shared" si="22"/>
        <v>3.4999999999999907</v>
      </c>
      <c r="E153">
        <f t="shared" si="23"/>
        <v>8.7268269504578867E-4</v>
      </c>
      <c r="F153" s="28">
        <f t="shared" si="24"/>
        <v>7.1638030325843944</v>
      </c>
    </row>
    <row r="154" spans="1:6">
      <c r="A154">
        <f t="shared" si="25"/>
        <v>3.5499999999999905</v>
      </c>
      <c r="B154">
        <f t="shared" si="20"/>
        <v>4.1669602811493203</v>
      </c>
      <c r="C154">
        <f t="shared" si="21"/>
        <v>7.316644628303342E-4</v>
      </c>
      <c r="D154">
        <f t="shared" si="22"/>
        <v>3.5499999999999905</v>
      </c>
      <c r="E154">
        <f t="shared" si="23"/>
        <v>7.3166446283033551E-4</v>
      </c>
      <c r="F154" s="28">
        <f t="shared" si="24"/>
        <v>7.38823598746146</v>
      </c>
    </row>
    <row r="155" spans="1:6">
      <c r="A155">
        <f t="shared" si="25"/>
        <v>3.5999999999999903</v>
      </c>
      <c r="B155">
        <f t="shared" si="20"/>
        <v>4.2169602811493192</v>
      </c>
      <c r="C155">
        <f t="shared" si="21"/>
        <v>6.1190193011379467E-4</v>
      </c>
      <c r="D155">
        <f t="shared" si="22"/>
        <v>3.5999999999999903</v>
      </c>
      <c r="E155">
        <f t="shared" si="23"/>
        <v>6.1190193011379358E-4</v>
      </c>
      <c r="F155" s="28">
        <f t="shared" si="24"/>
        <v>7.6197001450398991</v>
      </c>
    </row>
    <row r="156" spans="1:6">
      <c r="A156">
        <f t="shared" si="25"/>
        <v>3.6499999999999901</v>
      </c>
      <c r="B156">
        <f t="shared" si="20"/>
        <v>4.2669602811493199</v>
      </c>
      <c r="C156">
        <f t="shared" si="21"/>
        <v>5.1046497434420327E-4</v>
      </c>
      <c r="D156">
        <f t="shared" si="22"/>
        <v>3.6499999999999901</v>
      </c>
      <c r="E156">
        <f t="shared" si="23"/>
        <v>5.104649743442037E-4</v>
      </c>
      <c r="F156" s="28">
        <f t="shared" si="24"/>
        <v>7.8584157840727009</v>
      </c>
    </row>
    <row r="157" spans="1:6">
      <c r="A157">
        <f t="shared" si="25"/>
        <v>3.69999999999999</v>
      </c>
      <c r="B157">
        <f t="shared" si="20"/>
        <v>4.3169602811493188</v>
      </c>
      <c r="C157">
        <f t="shared" si="21"/>
        <v>4.2478027055076797E-4</v>
      </c>
      <c r="D157">
        <f t="shared" si="22"/>
        <v>3.69999999999999</v>
      </c>
      <c r="E157">
        <f t="shared" si="23"/>
        <v>4.2478027055076764E-4</v>
      </c>
      <c r="F157" s="28">
        <f t="shared" si="24"/>
        <v>8.1046100843696127</v>
      </c>
    </row>
    <row r="158" spans="1:6">
      <c r="A158">
        <f t="shared" si="25"/>
        <v>3.7499999999999898</v>
      </c>
      <c r="B158">
        <f t="shared" si="20"/>
        <v>4.3669602811493196</v>
      </c>
      <c r="C158">
        <f t="shared" si="21"/>
        <v>3.525956823674582E-4</v>
      </c>
      <c r="D158">
        <f t="shared" si="22"/>
        <v>3.7499999999999898</v>
      </c>
      <c r="E158">
        <f t="shared" si="23"/>
        <v>3.5259568236745885E-4</v>
      </c>
      <c r="F158" s="28">
        <f t="shared" si="24"/>
        <v>8.3585173429985975</v>
      </c>
    </row>
    <row r="159" spans="1:6">
      <c r="A159">
        <f t="shared" si="25"/>
        <v>3.7999999999999896</v>
      </c>
      <c r="B159">
        <f t="shared" si="20"/>
        <v>4.4169602811493185</v>
      </c>
      <c r="C159">
        <f t="shared" si="21"/>
        <v>2.9194692579147214E-4</v>
      </c>
      <c r="D159">
        <f t="shared" si="22"/>
        <v>3.7999999999999896</v>
      </c>
      <c r="E159">
        <f t="shared" si="23"/>
        <v>2.919469257914716E-4</v>
      </c>
      <c r="F159" s="28">
        <f t="shared" si="24"/>
        <v>8.6203791972606094</v>
      </c>
    </row>
    <row r="160" spans="1:6">
      <c r="A160">
        <f t="shared" si="25"/>
        <v>3.8499999999999894</v>
      </c>
      <c r="B160">
        <f t="shared" si="20"/>
        <v>4.4669602811493192</v>
      </c>
      <c r="C160">
        <f t="shared" si="21"/>
        <v>2.4112658022600286E-4</v>
      </c>
      <c r="D160">
        <f t="shared" si="22"/>
        <v>3.8499999999999894</v>
      </c>
      <c r="E160">
        <f t="shared" si="23"/>
        <v>2.4112658022600329E-4</v>
      </c>
      <c r="F160" s="28">
        <f t="shared" si="24"/>
        <v>8.8904448546498553</v>
      </c>
    </row>
    <row r="161" spans="1:6">
      <c r="A161">
        <f t="shared" si="25"/>
        <v>3.8999999999999893</v>
      </c>
      <c r="B161">
        <f t="shared" si="20"/>
        <v>4.5169602811493181</v>
      </c>
      <c r="C161">
        <f t="shared" si="21"/>
        <v>1.9865547139278134E-4</v>
      </c>
      <c r="D161">
        <f t="shared" si="22"/>
        <v>3.8999999999999893</v>
      </c>
      <c r="E161">
        <f t="shared" si="23"/>
        <v>1.9865547139278098E-4</v>
      </c>
      <c r="F161" s="28">
        <f t="shared" si="24"/>
        <v>9.1689713300184597</v>
      </c>
    </row>
    <row r="162" spans="1:6">
      <c r="A162">
        <f t="shared" si="25"/>
        <v>3.9499999999999891</v>
      </c>
      <c r="B162">
        <f t="shared" si="20"/>
        <v>4.5669602811493188</v>
      </c>
      <c r="C162">
        <f t="shared" si="21"/>
        <v>1.6325640876624879E-4</v>
      </c>
      <c r="D162">
        <f t="shared" si="22"/>
        <v>3.9499999999999891</v>
      </c>
      <c r="E162">
        <f t="shared" si="23"/>
        <v>1.6325640876624909E-4</v>
      </c>
      <c r="F162" s="28">
        <f t="shared" si="24"/>
        <v>9.4562236901711874</v>
      </c>
    </row>
    <row r="163" spans="1:6">
      <c r="A163">
        <f t="shared" si="25"/>
        <v>3.9999999999999889</v>
      </c>
      <c r="B163">
        <f t="shared" si="20"/>
        <v>4.6169602811493178</v>
      </c>
      <c r="C163">
        <f t="shared" si="21"/>
        <v>1.3383022576489152E-4</v>
      </c>
      <c r="D163">
        <f t="shared" si="22"/>
        <v>3.9999999999999889</v>
      </c>
      <c r="E163">
        <f t="shared" si="23"/>
        <v>1.338302257648913E-4</v>
      </c>
      <c r="F163" s="28">
        <f t="shared" si="24"/>
        <v>9.7524753061230012</v>
      </c>
    </row>
    <row r="164" spans="1:6">
      <c r="F164" s="64"/>
    </row>
    <row r="165" spans="1:6">
      <c r="F165" s="64"/>
    </row>
    <row r="166" spans="1:6">
      <c r="F166" s="64"/>
    </row>
    <row r="167" spans="1:6">
      <c r="F167" s="64"/>
    </row>
    <row r="168" spans="1:6">
      <c r="F168" s="64"/>
    </row>
    <row r="169" spans="1:6">
      <c r="F169" s="64"/>
    </row>
    <row r="170" spans="1:6">
      <c r="F170" s="64"/>
    </row>
    <row r="171" spans="1:6">
      <c r="F171" s="64"/>
    </row>
    <row r="172" spans="1:6">
      <c r="F172" s="64"/>
    </row>
    <row r="173" spans="1:6">
      <c r="F173" s="64"/>
    </row>
    <row r="174" spans="1:6">
      <c r="F174" s="64"/>
    </row>
    <row r="175" spans="1:6">
      <c r="F175" s="64"/>
    </row>
    <row r="176" spans="1:6">
      <c r="F176" s="64"/>
    </row>
    <row r="177" spans="6:6">
      <c r="F177" s="64"/>
    </row>
    <row r="178" spans="6:6">
      <c r="F178" s="64"/>
    </row>
    <row r="179" spans="6:6">
      <c r="F179" s="64"/>
    </row>
    <row r="180" spans="6:6">
      <c r="F180" s="64"/>
    </row>
    <row r="181" spans="6:6">
      <c r="F181" s="64"/>
    </row>
    <row r="182" spans="6:6">
      <c r="F182" s="64"/>
    </row>
    <row r="183" spans="6:6">
      <c r="F183" s="64"/>
    </row>
    <row r="184" spans="6:6">
      <c r="F184" s="64"/>
    </row>
    <row r="185" spans="6:6">
      <c r="F185" s="64"/>
    </row>
    <row r="186" spans="6:6">
      <c r="F186" s="64"/>
    </row>
    <row r="187" spans="6:6">
      <c r="F187" s="64"/>
    </row>
    <row r="188" spans="6:6">
      <c r="F188" s="64"/>
    </row>
    <row r="189" spans="6:6">
      <c r="F189" s="64"/>
    </row>
    <row r="190" spans="6:6">
      <c r="F190" s="64"/>
    </row>
    <row r="191" spans="6:6">
      <c r="F191" s="64"/>
    </row>
    <row r="192" spans="6:6">
      <c r="F192" s="64"/>
    </row>
    <row r="193" spans="6:6">
      <c r="F193" s="64"/>
    </row>
    <row r="194" spans="6:6">
      <c r="F194" s="64"/>
    </row>
    <row r="195" spans="6:6">
      <c r="F195" s="64"/>
    </row>
    <row r="196" spans="6:6">
      <c r="F196" s="64"/>
    </row>
    <row r="197" spans="6:6">
      <c r="F197" s="64"/>
    </row>
    <row r="198" spans="6:6">
      <c r="F198" s="64"/>
    </row>
    <row r="199" spans="6:6">
      <c r="F199" s="64"/>
    </row>
    <row r="200" spans="6:6">
      <c r="F200" s="64"/>
    </row>
    <row r="201" spans="6:6">
      <c r="F201" s="64"/>
    </row>
    <row r="202" spans="6:6">
      <c r="F202" s="64"/>
    </row>
    <row r="203" spans="6:6">
      <c r="F203" s="64"/>
    </row>
    <row r="204" spans="6:6">
      <c r="F204" s="64"/>
    </row>
    <row r="205" spans="6:6">
      <c r="F205" s="64"/>
    </row>
    <row r="206" spans="6:6">
      <c r="F206" s="64"/>
    </row>
    <row r="207" spans="6:6">
      <c r="F207" s="64"/>
    </row>
    <row r="208" spans="6:6">
      <c r="F208" s="64"/>
    </row>
    <row r="209" spans="6:6">
      <c r="F209" s="64"/>
    </row>
    <row r="210" spans="6:6">
      <c r="F210" s="64"/>
    </row>
    <row r="211" spans="6:6">
      <c r="F211" s="64"/>
    </row>
    <row r="212" spans="6:6">
      <c r="F212" s="64"/>
    </row>
    <row r="213" spans="6:6">
      <c r="F213" s="64"/>
    </row>
    <row r="214" spans="6:6">
      <c r="F214" s="64"/>
    </row>
    <row r="215" spans="6:6">
      <c r="F215" s="64"/>
    </row>
    <row r="216" spans="6:6">
      <c r="F216" s="64"/>
    </row>
    <row r="217" spans="6:6">
      <c r="F217" s="64"/>
    </row>
    <row r="218" spans="6:6">
      <c r="F218" s="64"/>
    </row>
    <row r="219" spans="6:6">
      <c r="F219" s="64"/>
    </row>
    <row r="220" spans="6:6">
      <c r="F220" s="64"/>
    </row>
    <row r="221" spans="6:6">
      <c r="F221" s="64"/>
    </row>
    <row r="222" spans="6:6">
      <c r="F222" s="64"/>
    </row>
    <row r="223" spans="6:6">
      <c r="F223" s="64"/>
    </row>
    <row r="224" spans="6:6">
      <c r="F224" s="64"/>
    </row>
    <row r="225" spans="6:6">
      <c r="F225" s="64"/>
    </row>
    <row r="226" spans="6:6">
      <c r="F226" s="64"/>
    </row>
    <row r="227" spans="6:6">
      <c r="F227" s="64"/>
    </row>
    <row r="228" spans="6:6">
      <c r="F228" s="64"/>
    </row>
    <row r="229" spans="6:6">
      <c r="F229" s="64"/>
    </row>
    <row r="230" spans="6:6">
      <c r="F230" s="64"/>
    </row>
    <row r="231" spans="6:6">
      <c r="F231" s="64"/>
    </row>
    <row r="232" spans="6:6">
      <c r="F232" s="64"/>
    </row>
    <row r="233" spans="6:6">
      <c r="F233" s="64"/>
    </row>
    <row r="234" spans="6:6">
      <c r="F234" s="64"/>
    </row>
    <row r="235" spans="6:6">
      <c r="F235" s="64"/>
    </row>
    <row r="236" spans="6:6">
      <c r="F236" s="64"/>
    </row>
    <row r="237" spans="6:6">
      <c r="F237" s="64"/>
    </row>
    <row r="238" spans="6:6">
      <c r="F238" s="64"/>
    </row>
    <row r="239" spans="6:6">
      <c r="F239" s="64"/>
    </row>
    <row r="240" spans="6:6">
      <c r="F240" s="64"/>
    </row>
    <row r="241" spans="6:6">
      <c r="F241" s="64"/>
    </row>
    <row r="242" spans="6:6">
      <c r="F242" s="64"/>
    </row>
    <row r="243" spans="6:6">
      <c r="F243" s="64"/>
    </row>
    <row r="244" spans="6:6">
      <c r="F244" s="64"/>
    </row>
    <row r="245" spans="6:6">
      <c r="F245" s="64"/>
    </row>
    <row r="246" spans="6:6">
      <c r="F246" s="64"/>
    </row>
    <row r="247" spans="6:6">
      <c r="F247" s="64"/>
    </row>
    <row r="248" spans="6:6">
      <c r="F248" s="64"/>
    </row>
    <row r="249" spans="6:6">
      <c r="F249" s="64"/>
    </row>
    <row r="250" spans="6:6">
      <c r="F250" s="64"/>
    </row>
    <row r="251" spans="6:6">
      <c r="F251" s="64"/>
    </row>
    <row r="252" spans="6:6">
      <c r="F252" s="64"/>
    </row>
    <row r="253" spans="6:6">
      <c r="F253" s="64"/>
    </row>
    <row r="254" spans="6:6">
      <c r="F254" s="64"/>
    </row>
    <row r="255" spans="6:6">
      <c r="F255" s="64"/>
    </row>
    <row r="256" spans="6:6">
      <c r="F256" s="64"/>
    </row>
    <row r="257" spans="6:6">
      <c r="F257" s="64"/>
    </row>
    <row r="258" spans="6:6">
      <c r="F258" s="64"/>
    </row>
    <row r="259" spans="6:6">
      <c r="F259" s="64"/>
    </row>
    <row r="260" spans="6:6">
      <c r="F260" s="64"/>
    </row>
    <row r="261" spans="6:6">
      <c r="F261" s="64"/>
    </row>
    <row r="262" spans="6:6">
      <c r="F262" s="64"/>
    </row>
    <row r="263" spans="6:6">
      <c r="F263" s="64"/>
    </row>
    <row r="264" spans="6:6">
      <c r="F264" s="64"/>
    </row>
    <row r="265" spans="6:6">
      <c r="F265" s="64"/>
    </row>
    <row r="266" spans="6:6">
      <c r="F266" s="64"/>
    </row>
    <row r="267" spans="6:6">
      <c r="F267" s="64"/>
    </row>
    <row r="268" spans="6:6">
      <c r="F268" s="64"/>
    </row>
    <row r="269" spans="6:6">
      <c r="F269" s="64"/>
    </row>
    <row r="270" spans="6:6">
      <c r="F270" s="64"/>
    </row>
    <row r="271" spans="6:6">
      <c r="F271" s="64"/>
    </row>
    <row r="272" spans="6:6">
      <c r="F272" s="64"/>
    </row>
    <row r="273" spans="6:6">
      <c r="F273" s="64"/>
    </row>
    <row r="274" spans="6:6">
      <c r="F274" s="64"/>
    </row>
    <row r="275" spans="6:6">
      <c r="F275" s="64"/>
    </row>
    <row r="276" spans="6:6">
      <c r="F276" s="64"/>
    </row>
    <row r="277" spans="6:6">
      <c r="F277" s="64"/>
    </row>
    <row r="278" spans="6:6">
      <c r="F278" s="64"/>
    </row>
    <row r="279" spans="6:6">
      <c r="F279" s="64"/>
    </row>
    <row r="280" spans="6:6">
      <c r="F280" s="64"/>
    </row>
    <row r="281" spans="6:6">
      <c r="F281" s="64"/>
    </row>
    <row r="282" spans="6:6">
      <c r="F282" s="64"/>
    </row>
    <row r="283" spans="6:6">
      <c r="F283" s="64"/>
    </row>
    <row r="284" spans="6:6">
      <c r="F284" s="64"/>
    </row>
    <row r="285" spans="6:6">
      <c r="F285" s="64"/>
    </row>
    <row r="286" spans="6:6">
      <c r="F286" s="64"/>
    </row>
    <row r="287" spans="6:6">
      <c r="F287" s="64"/>
    </row>
    <row r="288" spans="6:6">
      <c r="F288" s="64"/>
    </row>
    <row r="289" spans="6:6">
      <c r="F289" s="64"/>
    </row>
    <row r="290" spans="6:6">
      <c r="F290" s="64"/>
    </row>
    <row r="291" spans="6:6">
      <c r="F291" s="64"/>
    </row>
    <row r="292" spans="6:6">
      <c r="F292" s="64"/>
    </row>
    <row r="293" spans="6:6">
      <c r="F293" s="64"/>
    </row>
    <row r="294" spans="6:6">
      <c r="F294" s="64"/>
    </row>
    <row r="295" spans="6:6">
      <c r="F295" s="64"/>
    </row>
    <row r="296" spans="6:6">
      <c r="F296" s="64"/>
    </row>
    <row r="297" spans="6:6">
      <c r="F297" s="64"/>
    </row>
    <row r="298" spans="6:6">
      <c r="F298" s="64"/>
    </row>
    <row r="299" spans="6:6">
      <c r="F299" s="64"/>
    </row>
    <row r="300" spans="6:6">
      <c r="F300" s="64"/>
    </row>
    <row r="301" spans="6:6">
      <c r="F301" s="64"/>
    </row>
    <row r="302" spans="6:6">
      <c r="F302" s="64"/>
    </row>
    <row r="303" spans="6:6">
      <c r="F303" s="64"/>
    </row>
    <row r="304" spans="6:6">
      <c r="F304" s="64"/>
    </row>
    <row r="305" spans="6:6">
      <c r="F305" s="64"/>
    </row>
    <row r="306" spans="6:6">
      <c r="F306" s="64"/>
    </row>
    <row r="307" spans="6:6">
      <c r="F307" s="64"/>
    </row>
    <row r="308" spans="6:6">
      <c r="F308" s="64"/>
    </row>
    <row r="309" spans="6:6">
      <c r="F309" s="64"/>
    </row>
    <row r="310" spans="6:6">
      <c r="F310" s="64"/>
    </row>
    <row r="311" spans="6:6">
      <c r="F311" s="64"/>
    </row>
    <row r="312" spans="6:6">
      <c r="F312" s="64"/>
    </row>
    <row r="313" spans="6:6">
      <c r="F313" s="64"/>
    </row>
    <row r="314" spans="6:6">
      <c r="F314" s="64"/>
    </row>
    <row r="315" spans="6:6">
      <c r="F315" s="64"/>
    </row>
    <row r="316" spans="6:6">
      <c r="F316" s="64"/>
    </row>
    <row r="317" spans="6:6">
      <c r="F317" s="64"/>
    </row>
    <row r="318" spans="6:6">
      <c r="F318" s="64"/>
    </row>
    <row r="319" spans="6:6">
      <c r="F319" s="64"/>
    </row>
    <row r="320" spans="6:6">
      <c r="F320" s="64"/>
    </row>
    <row r="321" spans="6:6">
      <c r="F321" s="64"/>
    </row>
    <row r="322" spans="6:6">
      <c r="F322" s="64"/>
    </row>
    <row r="323" spans="6:6">
      <c r="F323" s="64"/>
    </row>
    <row r="324" spans="6:6">
      <c r="F324" s="64"/>
    </row>
    <row r="325" spans="6:6">
      <c r="F325" s="64"/>
    </row>
    <row r="326" spans="6:6">
      <c r="F326" s="64"/>
    </row>
    <row r="327" spans="6:6">
      <c r="F327" s="64"/>
    </row>
    <row r="328" spans="6:6">
      <c r="F328" s="64"/>
    </row>
    <row r="329" spans="6:6">
      <c r="F329" s="64"/>
    </row>
    <row r="330" spans="6:6">
      <c r="F330" s="64"/>
    </row>
    <row r="331" spans="6:6">
      <c r="F331" s="64"/>
    </row>
    <row r="332" spans="6:6">
      <c r="F332" s="64"/>
    </row>
    <row r="333" spans="6:6">
      <c r="F333" s="64"/>
    </row>
    <row r="334" spans="6:6">
      <c r="F334" s="64"/>
    </row>
    <row r="335" spans="6:6">
      <c r="F335" s="64"/>
    </row>
    <row r="336" spans="6:6">
      <c r="F336" s="64"/>
    </row>
    <row r="337" spans="6:6">
      <c r="F337" s="64"/>
    </row>
    <row r="338" spans="6:6">
      <c r="F338" s="64"/>
    </row>
    <row r="339" spans="6:6">
      <c r="F339" s="64"/>
    </row>
    <row r="340" spans="6:6">
      <c r="F340" s="64"/>
    </row>
    <row r="341" spans="6:6">
      <c r="F341" s="64"/>
    </row>
    <row r="342" spans="6:6">
      <c r="F342" s="64"/>
    </row>
    <row r="343" spans="6:6">
      <c r="F343" s="64"/>
    </row>
    <row r="344" spans="6:6">
      <c r="F344" s="64"/>
    </row>
    <row r="345" spans="6:6">
      <c r="F345" s="64"/>
    </row>
    <row r="346" spans="6:6">
      <c r="F346" s="64"/>
    </row>
    <row r="347" spans="6:6">
      <c r="F347" s="64"/>
    </row>
    <row r="348" spans="6:6">
      <c r="F348" s="64"/>
    </row>
    <row r="349" spans="6:6">
      <c r="F349" s="64"/>
    </row>
    <row r="350" spans="6:6">
      <c r="F350" s="64"/>
    </row>
    <row r="351" spans="6:6">
      <c r="F351" s="64"/>
    </row>
    <row r="352" spans="6:6">
      <c r="F352" s="64"/>
    </row>
    <row r="353" spans="6:6">
      <c r="F353" s="64"/>
    </row>
    <row r="354" spans="6:6">
      <c r="F354" s="64"/>
    </row>
    <row r="355" spans="6:6">
      <c r="F355" s="64"/>
    </row>
    <row r="356" spans="6:6">
      <c r="F356" s="64"/>
    </row>
    <row r="357" spans="6:6">
      <c r="F357" s="64"/>
    </row>
    <row r="358" spans="6:6">
      <c r="F358" s="64"/>
    </row>
    <row r="359" spans="6:6">
      <c r="F359" s="64"/>
    </row>
    <row r="360" spans="6:6">
      <c r="F360" s="64"/>
    </row>
    <row r="361" spans="6:6">
      <c r="F361" s="64"/>
    </row>
    <row r="362" spans="6:6">
      <c r="F362" s="64"/>
    </row>
    <row r="363" spans="6:6">
      <c r="F363" s="64"/>
    </row>
    <row r="364" spans="6:6">
      <c r="F364" s="64"/>
    </row>
    <row r="365" spans="6:6">
      <c r="F365" s="64"/>
    </row>
    <row r="366" spans="6:6">
      <c r="F366" s="64"/>
    </row>
    <row r="367" spans="6:6">
      <c r="F367" s="64"/>
    </row>
    <row r="368" spans="6:6">
      <c r="F368" s="64"/>
    </row>
    <row r="369" spans="6:6">
      <c r="F369" s="64"/>
    </row>
    <row r="370" spans="6:6">
      <c r="F370" s="64"/>
    </row>
    <row r="371" spans="6:6">
      <c r="F371" s="64"/>
    </row>
    <row r="372" spans="6:6">
      <c r="F372" s="64"/>
    </row>
    <row r="373" spans="6:6">
      <c r="F373" s="64"/>
    </row>
    <row r="374" spans="6:6">
      <c r="F374" s="64"/>
    </row>
    <row r="375" spans="6:6">
      <c r="F375" s="64"/>
    </row>
    <row r="376" spans="6:6">
      <c r="F376" s="64"/>
    </row>
    <row r="377" spans="6:6">
      <c r="F377" s="64"/>
    </row>
    <row r="378" spans="6:6">
      <c r="F378" s="64"/>
    </row>
    <row r="379" spans="6:6">
      <c r="F379" s="64"/>
    </row>
    <row r="380" spans="6:6">
      <c r="F380" s="64"/>
    </row>
    <row r="381" spans="6:6">
      <c r="F381" s="64"/>
    </row>
    <row r="382" spans="6:6">
      <c r="F382" s="64"/>
    </row>
    <row r="383" spans="6:6">
      <c r="F383" s="64"/>
    </row>
    <row r="384" spans="6:6">
      <c r="F384" s="64"/>
    </row>
    <row r="385" spans="6:6">
      <c r="F385" s="64"/>
    </row>
    <row r="386" spans="6:6">
      <c r="F386" s="64"/>
    </row>
    <row r="387" spans="6:6">
      <c r="F387" s="64"/>
    </row>
    <row r="388" spans="6:6">
      <c r="F388" s="64"/>
    </row>
    <row r="389" spans="6:6">
      <c r="F389" s="64"/>
    </row>
    <row r="390" spans="6:6">
      <c r="F390" s="64"/>
    </row>
    <row r="391" spans="6:6">
      <c r="F391" s="64"/>
    </row>
    <row r="392" spans="6:6">
      <c r="F392" s="64"/>
    </row>
    <row r="393" spans="6:6">
      <c r="F393" s="64"/>
    </row>
    <row r="394" spans="6:6">
      <c r="F394" s="64"/>
    </row>
    <row r="395" spans="6:6">
      <c r="F395" s="64"/>
    </row>
    <row r="396" spans="6:6">
      <c r="F396" s="64"/>
    </row>
    <row r="397" spans="6:6">
      <c r="F397" s="64"/>
    </row>
    <row r="398" spans="6:6">
      <c r="F398" s="64"/>
    </row>
    <row r="399" spans="6:6">
      <c r="F399" s="64"/>
    </row>
    <row r="400" spans="6:6">
      <c r="F400" s="64"/>
    </row>
    <row r="401" spans="6:6">
      <c r="F401" s="64"/>
    </row>
    <row r="402" spans="6:6">
      <c r="F402" s="64"/>
    </row>
    <row r="403" spans="6:6">
      <c r="F403" s="64"/>
    </row>
    <row r="404" spans="6:6">
      <c r="F404" s="64"/>
    </row>
    <row r="405" spans="6:6">
      <c r="F405" s="64"/>
    </row>
    <row r="406" spans="6:6">
      <c r="F406" s="64"/>
    </row>
    <row r="407" spans="6:6">
      <c r="F407" s="64"/>
    </row>
    <row r="408" spans="6:6">
      <c r="F408" s="64"/>
    </row>
    <row r="409" spans="6:6">
      <c r="F409" s="64"/>
    </row>
    <row r="410" spans="6:6">
      <c r="F410" s="64"/>
    </row>
    <row r="411" spans="6:6">
      <c r="F411" s="64"/>
    </row>
    <row r="412" spans="6:6">
      <c r="F412" s="64"/>
    </row>
    <row r="413" spans="6:6">
      <c r="F413" s="64"/>
    </row>
    <row r="414" spans="6:6">
      <c r="F414" s="64"/>
    </row>
    <row r="415" spans="6:6">
      <c r="F415" s="64"/>
    </row>
    <row r="416" spans="6:6">
      <c r="F416" s="64"/>
    </row>
    <row r="417" spans="6:6">
      <c r="F417" s="64"/>
    </row>
    <row r="418" spans="6:6">
      <c r="F418" s="64"/>
    </row>
    <row r="419" spans="6:6">
      <c r="F419" s="64"/>
    </row>
    <row r="420" spans="6:6">
      <c r="F420" s="64"/>
    </row>
    <row r="421" spans="6:6">
      <c r="F421" s="64"/>
    </row>
    <row r="422" spans="6:6">
      <c r="F422" s="64"/>
    </row>
    <row r="423" spans="6:6">
      <c r="F423" s="64"/>
    </row>
    <row r="424" spans="6:6">
      <c r="F424" s="64"/>
    </row>
    <row r="425" spans="6:6">
      <c r="F425" s="64"/>
    </row>
    <row r="426" spans="6:6">
      <c r="F426" s="64"/>
    </row>
    <row r="427" spans="6:6">
      <c r="F427" s="64"/>
    </row>
    <row r="428" spans="6:6">
      <c r="F428" s="64"/>
    </row>
    <row r="429" spans="6:6">
      <c r="F429" s="64"/>
    </row>
    <row r="430" spans="6:6">
      <c r="F430" s="64"/>
    </row>
    <row r="431" spans="6:6">
      <c r="F431" s="64"/>
    </row>
    <row r="432" spans="6:6">
      <c r="F432" s="64"/>
    </row>
    <row r="433" spans="6:6">
      <c r="F433" s="64"/>
    </row>
    <row r="434" spans="6:6">
      <c r="F434" s="64"/>
    </row>
    <row r="435" spans="6:6">
      <c r="F435" s="64"/>
    </row>
    <row r="436" spans="6:6">
      <c r="F436" s="64"/>
    </row>
    <row r="437" spans="6:6">
      <c r="F437" s="64"/>
    </row>
    <row r="438" spans="6:6">
      <c r="F438" s="64"/>
    </row>
    <row r="439" spans="6:6">
      <c r="F439" s="64"/>
    </row>
    <row r="440" spans="6:6">
      <c r="F440" s="64"/>
    </row>
    <row r="441" spans="6:6">
      <c r="F441" s="64"/>
    </row>
    <row r="442" spans="6:6">
      <c r="F442" s="64"/>
    </row>
    <row r="443" spans="6:6">
      <c r="F443" s="64"/>
    </row>
    <row r="444" spans="6:6">
      <c r="F444" s="64"/>
    </row>
    <row r="445" spans="6:6">
      <c r="F445" s="64"/>
    </row>
    <row r="446" spans="6:6">
      <c r="F446" s="64"/>
    </row>
    <row r="447" spans="6:6">
      <c r="F447" s="64"/>
    </row>
    <row r="448" spans="6:6">
      <c r="F448" s="64"/>
    </row>
    <row r="449" spans="6:6">
      <c r="F449" s="64"/>
    </row>
    <row r="450" spans="6:6">
      <c r="F450" s="64"/>
    </row>
    <row r="451" spans="6:6">
      <c r="F451" s="64"/>
    </row>
    <row r="452" spans="6:6">
      <c r="F452" s="64"/>
    </row>
    <row r="453" spans="6:6">
      <c r="F453" s="64"/>
    </row>
    <row r="454" spans="6:6">
      <c r="F454" s="64"/>
    </row>
    <row r="455" spans="6:6">
      <c r="F455" s="64"/>
    </row>
    <row r="456" spans="6:6">
      <c r="F456" s="64"/>
    </row>
    <row r="457" spans="6:6">
      <c r="F457" s="64"/>
    </row>
    <row r="458" spans="6:6">
      <c r="F458" s="64"/>
    </row>
    <row r="459" spans="6:6">
      <c r="F459" s="64"/>
    </row>
    <row r="460" spans="6:6">
      <c r="F460" s="64"/>
    </row>
    <row r="461" spans="6:6">
      <c r="F461" s="64"/>
    </row>
    <row r="462" spans="6:6">
      <c r="F462" s="64"/>
    </row>
    <row r="463" spans="6:6">
      <c r="F463" s="64"/>
    </row>
    <row r="464" spans="6:6">
      <c r="F464" s="64"/>
    </row>
    <row r="465" spans="6:6">
      <c r="F465" s="64"/>
    </row>
    <row r="466" spans="6:6">
      <c r="F466" s="64"/>
    </row>
    <row r="467" spans="6:6">
      <c r="F467" s="64"/>
    </row>
    <row r="468" spans="6:6">
      <c r="F468" s="64"/>
    </row>
    <row r="469" spans="6:6">
      <c r="F469" s="64"/>
    </row>
    <row r="470" spans="6:6">
      <c r="F470" s="64"/>
    </row>
    <row r="471" spans="6:6">
      <c r="F471" s="64"/>
    </row>
    <row r="472" spans="6:6">
      <c r="F472" s="64"/>
    </row>
  </sheetData>
  <phoneticPr fontId="4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Introduction</vt:lpstr>
      <vt:lpstr>Likelihood Ratio</vt:lpstr>
      <vt:lpstr>Specified Odds Ratio</vt:lpstr>
      <vt:lpstr>Specified False Positive Rate</vt:lpstr>
      <vt:lpstr>Specified Detection Rate</vt:lpstr>
      <vt:lpstr>normpltsLR</vt:lpstr>
      <vt:lpstr>normplts</vt:lpstr>
      <vt:lpstr>'Likelihood Ratio'!Print_Area</vt:lpstr>
      <vt:lpstr>'Specified False Positive Rate'!Print_Area</vt:lpstr>
    </vt:vector>
  </TitlesOfParts>
  <Company>epm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jkmorris</dc:creator>
  <cp:lastModifiedBy>twu</cp:lastModifiedBy>
  <cp:lastPrinted>2010-07-09T09:11:47Z</cp:lastPrinted>
  <dcterms:created xsi:type="dcterms:W3CDTF">2009-07-21T18:48:41Z</dcterms:created>
  <dcterms:modified xsi:type="dcterms:W3CDTF">2019-12-18T11:31:30Z</dcterms:modified>
</cp:coreProperties>
</file>